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userName="s273689" algorithmName="SHA-512" hashValue="3rQhM3/Ul0nSOv6P8lWV4iRQzL7J0sBDX9GL0SIDbKwC9jZ4GF+R+1B223uYLvjYR+zxmlGVYZynmVCdYuVXVQ==" saltValue="2GxL+lAreD2REzblwLZBDA==" spinCount="100000"/>
  <workbookPr filterPrivacy="1" showInkAnnotation="0" codeName="ThisWorkbook" defaultThemeVersion="124226"/>
  <xr:revisionPtr revIDLastSave="0" documentId="8_{89C78F01-27D2-4DCE-AE2C-253C8681B893}" xr6:coauthVersionLast="47" xr6:coauthVersionMax="47" xr10:uidLastSave="{00000000-0000-0000-0000-000000000000}"/>
  <bookViews>
    <workbookView xWindow="-120" yWindow="-120" windowWidth="29040" windowHeight="15840" tabRatio="876"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2" r:id="rId23"/>
    <sheet name="KGP - WS P Dep. Rates" sheetId="43" r:id="rId24"/>
    <sheet name="KPC - WS P Dep. Rates" sheetId="44" r:id="rId25"/>
    <sheet name="OPC - WS P Dep. Rates" sheetId="45" r:id="rId26"/>
    <sheet name="WPC-WS P Dep. Rates" sheetId="46" r:id="rId27"/>
    <sheet name="WSQ NSPR" sheetId="47" r:id="rId28"/>
    <sheet name="WSQ Schedule 12" sheetId="49" r:id="rId29"/>
    <sheet name="WSQ Schedule 1A" sheetId="50" r:id="rId30"/>
  </sheets>
  <externalReferences>
    <externalReference r:id="rId31"/>
    <externalReference r:id="rId32"/>
    <externalReference r:id="rId33"/>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22">#REF!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0">TCOS!$A$1:$L$375</definedName>
    <definedName name="_xlnm.Print_Area" localSheetId="26">'WPC-WS P Dep. Rates'!#REF!</definedName>
    <definedName name="_xlnm.Print_Area" localSheetId="4">'WS B-2 - Actual Stmt. AG'!$A$1:$S$106</definedName>
    <definedName name="_xlnm.Print_Area" localSheetId="5">'WS B-3'!$A$1:$R$54</definedName>
    <definedName name="_xlnm.Print_Area" localSheetId="6">#REF!</definedName>
    <definedName name="_xlnm.Print_Area" localSheetId="12">'WS H Other Taxes'!$A$1:$M$75</definedName>
    <definedName name="_xlnm.Print_Area" localSheetId="14">'WS I Reserved'!$A$1:$L$60</definedName>
    <definedName name="_xlnm.Print_Area" localSheetId="15">'WS J PROJECTED RTEP RR'!$A$1:$O$2042</definedName>
    <definedName name="_xlnm.Print_Area" localSheetId="16">'WS K TRUE-UP RTEP RR'!$A$1:$P$2066</definedName>
    <definedName name="_xlnm.Print_Area" localSheetId="17">'WS L Reserved'!$A$1:$F$27</definedName>
    <definedName name="_xlnm.Print_Area" localSheetId="18">'WS M - Cost of Capital'!$A$1:$L$106</definedName>
    <definedName name="_xlnm.Print_Area" localSheetId="20">'WS O - PBOP'!$A$1:$K$57</definedName>
    <definedName name="_xlnm.Print_Area" localSheetId="27">'WSQ NSPR'!$A$1:$K$57</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Capital'!$A$10:$N$91</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Capital'!$A$10:$N$91</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Capital'!$A$10:$N$91</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Capital'!$A$10:$N$91</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Amts'!$A$3:$F$121</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6" l="1"/>
  <c r="I43" i="6"/>
  <c r="I39" i="6"/>
  <c r="G22" i="48" l="1"/>
  <c r="H22" i="48"/>
  <c r="I22" i="48"/>
  <c r="E36" i="9" l="1"/>
  <c r="D90" i="6" l="1"/>
  <c r="J40" i="53" l="1"/>
  <c r="F40" i="53"/>
  <c r="D40" i="53"/>
  <c r="L38" i="53"/>
  <c r="N38" i="53" s="1"/>
  <c r="H38" i="53"/>
  <c r="N35" i="53"/>
  <c r="L35" i="53"/>
  <c r="H35" i="53"/>
  <c r="L33" i="53"/>
  <c r="L40" i="53" s="1"/>
  <c r="J33" i="53"/>
  <c r="H33" i="53"/>
  <c r="F28" i="53"/>
  <c r="J26" i="53"/>
  <c r="J28" i="53" s="1"/>
  <c r="D26" i="53"/>
  <c r="D28" i="53" s="1"/>
  <c r="L22" i="53"/>
  <c r="N22" i="53" s="1"/>
  <c r="H22" i="53"/>
  <c r="L18" i="53"/>
  <c r="J18" i="53"/>
  <c r="D18" i="53"/>
  <c r="H18" i="53" s="1"/>
  <c r="A16" i="53"/>
  <c r="A17" i="53" s="1"/>
  <c r="A18" i="53" s="1"/>
  <c r="A20" i="53" s="1"/>
  <c r="A22" i="53" s="1"/>
  <c r="A24" i="53" s="1"/>
  <c r="A25" i="53" s="1"/>
  <c r="A26" i="53" s="1"/>
  <c r="A28" i="53" s="1"/>
  <c r="A33" i="53" s="1"/>
  <c r="A35" i="53" s="1"/>
  <c r="A38" i="53" s="1"/>
  <c r="A40" i="53" s="1"/>
  <c r="N18" i="53" l="1"/>
  <c r="L26" i="53"/>
  <c r="L28" i="53" s="1"/>
  <c r="N33" i="53"/>
  <c r="N40" i="53" s="1"/>
  <c r="H26" i="53"/>
  <c r="N26" i="53" l="1"/>
  <c r="N28" i="53" s="1"/>
  <c r="J107" i="38" l="1"/>
  <c r="J108" i="38"/>
  <c r="G142" i="2" l="1"/>
  <c r="C142" i="38" l="1"/>
  <c r="D142" i="38"/>
  <c r="G142" i="38"/>
  <c r="I142" i="38"/>
  <c r="J142" i="38"/>
  <c r="K142" i="38"/>
  <c r="C143" i="38"/>
  <c r="G143" i="38" s="1"/>
  <c r="D143" i="38"/>
  <c r="I143" i="38"/>
  <c r="J143" i="38"/>
  <c r="K143" i="38"/>
  <c r="K63" i="38"/>
  <c r="J63" i="38"/>
  <c r="I63" i="38"/>
  <c r="G63" i="38"/>
  <c r="D63" i="38"/>
  <c r="C63" i="38"/>
  <c r="C27" i="39"/>
  <c r="G27" i="39" s="1"/>
  <c r="D27" i="39"/>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I148" i="38" l="1"/>
  <c r="J148" i="38"/>
  <c r="K148" i="38"/>
  <c r="I149" i="38"/>
  <c r="J149" i="38"/>
  <c r="K149" i="38"/>
  <c r="I150" i="38"/>
  <c r="J150" i="38"/>
  <c r="K150" i="38"/>
  <c r="D148" i="38"/>
  <c r="G148" i="38" s="1"/>
  <c r="D149" i="38"/>
  <c r="G149" i="38" s="1"/>
  <c r="C149" i="38"/>
  <c r="C148" i="38"/>
  <c r="D68" i="38"/>
  <c r="G68" i="38" s="1"/>
  <c r="C68" i="38"/>
  <c r="D67" i="38"/>
  <c r="C67" i="38"/>
  <c r="D98" i="39"/>
  <c r="G98" i="39" s="1"/>
  <c r="C98" i="39"/>
  <c r="D97" i="39"/>
  <c r="C97" i="39"/>
  <c r="G67" i="38" l="1"/>
  <c r="G97" i="39"/>
  <c r="K87" i="6"/>
  <c r="E87" i="6"/>
  <c r="E86" i="6"/>
  <c r="J85" i="6"/>
  <c r="K85" i="6" s="1"/>
  <c r="E85" i="6" s="1"/>
  <c r="K84" i="6"/>
  <c r="E84" i="6"/>
  <c r="K83" i="6"/>
  <c r="E83" i="6"/>
  <c r="I82" i="6"/>
  <c r="K82" i="6" s="1"/>
  <c r="E82" i="6" s="1"/>
  <c r="K81" i="6"/>
  <c r="E81" i="6" s="1"/>
  <c r="K80" i="6"/>
  <c r="E80" i="6" s="1"/>
  <c r="K79" i="6"/>
  <c r="E79" i="6"/>
  <c r="K78" i="6"/>
  <c r="E78" i="6" s="1"/>
  <c r="K77" i="6"/>
  <c r="E77" i="6"/>
  <c r="K76" i="6"/>
  <c r="E76" i="6" s="1"/>
  <c r="K75" i="6"/>
  <c r="E75" i="6"/>
  <c r="J74" i="6"/>
  <c r="K74" i="6" s="1"/>
  <c r="E74" i="6" s="1"/>
  <c r="K73" i="6"/>
  <c r="E73" i="6"/>
  <c r="K72" i="6"/>
  <c r="E72" i="6"/>
  <c r="K71" i="6"/>
  <c r="E71" i="6"/>
  <c r="K70" i="6"/>
  <c r="E70" i="6"/>
  <c r="K69" i="6"/>
  <c r="E69" i="6"/>
  <c r="I68" i="6"/>
  <c r="K68" i="6" s="1"/>
  <c r="E68" i="6" s="1"/>
  <c r="O155" i="38"/>
  <c r="O161" i="38" s="1"/>
  <c r="M155" i="38"/>
  <c r="M161" i="38" s="1"/>
  <c r="O144" i="38"/>
  <c r="N144" i="38"/>
  <c r="N155" i="38" s="1"/>
  <c r="N161" i="38" s="1"/>
  <c r="O73" i="38"/>
  <c r="N73" i="38"/>
  <c r="M73" i="38"/>
  <c r="O72" i="38"/>
  <c r="N72" i="38"/>
  <c r="M72" i="38"/>
  <c r="O48" i="51" l="1"/>
  <c r="L46" i="2" l="1"/>
  <c r="L45" i="2"/>
  <c r="F86" i="35" l="1"/>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I39" i="52"/>
  <c r="E39" i="52"/>
  <c r="K39" i="52" s="1"/>
  <c r="I38" i="52"/>
  <c r="E38" i="52"/>
  <c r="K38" i="52" s="1"/>
  <c r="I37" i="52"/>
  <c r="K37" i="52" s="1"/>
  <c r="E37" i="52"/>
  <c r="I36" i="52"/>
  <c r="E36" i="52"/>
  <c r="K36" i="52" s="1"/>
  <c r="I35" i="52"/>
  <c r="E35" i="52"/>
  <c r="I34" i="52"/>
  <c r="E34" i="52"/>
  <c r="K34" i="52" s="1"/>
  <c r="I33" i="52"/>
  <c r="K33" i="52" s="1"/>
  <c r="E33" i="52"/>
  <c r="I32" i="52"/>
  <c r="E32" i="52"/>
  <c r="K32" i="52" s="1"/>
  <c r="I31" i="52"/>
  <c r="E31" i="52"/>
  <c r="I27" i="52"/>
  <c r="K27" i="52" s="1"/>
  <c r="E27" i="52"/>
  <c r="I26" i="52"/>
  <c r="E26" i="52"/>
  <c r="I25" i="52"/>
  <c r="E25" i="52"/>
  <c r="I24" i="52"/>
  <c r="E24" i="52"/>
  <c r="K24" i="52" s="1"/>
  <c r="K23" i="52"/>
  <c r="I23" i="52"/>
  <c r="E23" i="52"/>
  <c r="I22" i="52"/>
  <c r="E22" i="52"/>
  <c r="I21" i="52"/>
  <c r="E21" i="52"/>
  <c r="I20" i="52"/>
  <c r="E20" i="52"/>
  <c r="K20" i="52" s="1"/>
  <c r="I19" i="52"/>
  <c r="E19" i="52"/>
  <c r="K19" i="52" s="1"/>
  <c r="K21" i="52" l="1"/>
  <c r="K26" i="52"/>
  <c r="K31" i="52"/>
  <c r="K22" i="52"/>
  <c r="K25" i="52"/>
  <c r="K35" i="52"/>
  <c r="G44" i="48"/>
  <c r="I43" i="48"/>
  <c r="D43" i="48" l="1"/>
  <c r="J43" i="48"/>
  <c r="F43" i="48"/>
  <c r="G43" i="48"/>
  <c r="H43" i="48"/>
  <c r="O29" i="51" l="1"/>
  <c r="N48" i="51" l="1"/>
  <c r="N29" i="51"/>
  <c r="C141" i="38" l="1"/>
  <c r="D141" i="38"/>
  <c r="I141" i="38"/>
  <c r="J141" i="38"/>
  <c r="K141" i="38"/>
  <c r="G141" i="38" l="1"/>
  <c r="C64" i="38"/>
  <c r="D64" i="38"/>
  <c r="I64" i="38"/>
  <c r="J64" i="38"/>
  <c r="K64" i="38"/>
  <c r="G64" i="38" l="1"/>
  <c r="Q39" i="51" l="1"/>
  <c r="Q36" i="51"/>
  <c r="Q35" i="51"/>
  <c r="Q20" i="51"/>
  <c r="Q17" i="51"/>
  <c r="Q16" i="51"/>
  <c r="Q14" i="51"/>
  <c r="P45" i="51"/>
  <c r="P44" i="51"/>
  <c r="P26" i="51"/>
  <c r="P25" i="51"/>
  <c r="P40" i="51"/>
  <c r="P38" i="51"/>
  <c r="P37" i="51"/>
  <c r="P34" i="51"/>
  <c r="P21" i="51"/>
  <c r="P19" i="51"/>
  <c r="P18" i="51"/>
  <c r="P15" i="51"/>
  <c r="P13" i="51"/>
  <c r="M48" i="51"/>
  <c r="L48" i="51"/>
  <c r="K48" i="51"/>
  <c r="J48" i="51"/>
  <c r="I48" i="51"/>
  <c r="M29" i="51"/>
  <c r="L29" i="51"/>
  <c r="K29" i="51"/>
  <c r="J29" i="51"/>
  <c r="I29" i="51"/>
  <c r="Q48" i="51" l="1"/>
  <c r="Q29" i="51"/>
  <c r="P48" i="51"/>
  <c r="P29" i="51"/>
  <c r="I27" i="39" l="1"/>
  <c r="J27" i="39"/>
  <c r="K27" i="39"/>
  <c r="E69" i="9"/>
  <c r="E68" i="9"/>
  <c r="B39" i="50" l="1"/>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A8" i="50"/>
  <c r="B39" i="49"/>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A8" i="49"/>
  <c r="F15" i="50"/>
  <c r="F15"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D23" i="35" l="1"/>
  <c r="H236" i="2"/>
  <c r="H237" i="2"/>
  <c r="O2059" i="13" l="1"/>
  <c r="M2059" i="13"/>
  <c r="O2058" i="13"/>
  <c r="M2058" i="13"/>
  <c r="O2057" i="13"/>
  <c r="M2057" i="13"/>
  <c r="O2056" i="13"/>
  <c r="M2056" i="13"/>
  <c r="O2055" i="13"/>
  <c r="M2055" i="13"/>
  <c r="O2054" i="13"/>
  <c r="M2054" i="13"/>
  <c r="O2053" i="13"/>
  <c r="M2053" i="13"/>
  <c r="O2052" i="13"/>
  <c r="M2052" i="13"/>
  <c r="O2051" i="13"/>
  <c r="M2051" i="13"/>
  <c r="O2050" i="13"/>
  <c r="M2050" i="13"/>
  <c r="O2049" i="13"/>
  <c r="M2049" i="13"/>
  <c r="O2048" i="13"/>
  <c r="M2048" i="13"/>
  <c r="O2047" i="13"/>
  <c r="M2047" i="13"/>
  <c r="O2046" i="13"/>
  <c r="M2046" i="13"/>
  <c r="O2045" i="13"/>
  <c r="M2045" i="13"/>
  <c r="O2044" i="13"/>
  <c r="M2044" i="13"/>
  <c r="O2043" i="13"/>
  <c r="M2043" i="13"/>
  <c r="O2042" i="13"/>
  <c r="M2042" i="13"/>
  <c r="O2041" i="13"/>
  <c r="M2041" i="13"/>
  <c r="O2040" i="13"/>
  <c r="M2040" i="13"/>
  <c r="O2039" i="13"/>
  <c r="M2039" i="13"/>
  <c r="O2038" i="13"/>
  <c r="M2038" i="13"/>
  <c r="O2037" i="13"/>
  <c r="M2037" i="13"/>
  <c r="O2036" i="13"/>
  <c r="M2036" i="13"/>
  <c r="O2035" i="13"/>
  <c r="M2035" i="13"/>
  <c r="O2034" i="13"/>
  <c r="M2034" i="13"/>
  <c r="O2033" i="13"/>
  <c r="M2033" i="13"/>
  <c r="O2032" i="13"/>
  <c r="M2032" i="13"/>
  <c r="O2031" i="13"/>
  <c r="M2031" i="13"/>
  <c r="O2030" i="13"/>
  <c r="M2030" i="13"/>
  <c r="O2029" i="13"/>
  <c r="M2029" i="13"/>
  <c r="O2028" i="13"/>
  <c r="M2028" i="13"/>
  <c r="O2027" i="13"/>
  <c r="M2027" i="13"/>
  <c r="O2026" i="13"/>
  <c r="M2026" i="13"/>
  <c r="O2025" i="13"/>
  <c r="M2025" i="13"/>
  <c r="O2024" i="13"/>
  <c r="M2024" i="13"/>
  <c r="O2023" i="13"/>
  <c r="M2023" i="13"/>
  <c r="O2022" i="13"/>
  <c r="M2022" i="13"/>
  <c r="O2021" i="13"/>
  <c r="M2021" i="13"/>
  <c r="O2020" i="13"/>
  <c r="M2020" i="13"/>
  <c r="O2019" i="13"/>
  <c r="M2019" i="13"/>
  <c r="O2018" i="13"/>
  <c r="M2018" i="13"/>
  <c r="O2017" i="13"/>
  <c r="M2017" i="13"/>
  <c r="O2016" i="13"/>
  <c r="M2016" i="13"/>
  <c r="O2015" i="13"/>
  <c r="M2015" i="13"/>
  <c r="O2014" i="13"/>
  <c r="M2014" i="13"/>
  <c r="O2013" i="13"/>
  <c r="M2013" i="13"/>
  <c r="O2012" i="13"/>
  <c r="M2012" i="13"/>
  <c r="O2011" i="13"/>
  <c r="M2011" i="13"/>
  <c r="O2010" i="13"/>
  <c r="M2010" i="13"/>
  <c r="O2009" i="13"/>
  <c r="M2009" i="13"/>
  <c r="O2008" i="13"/>
  <c r="M2008" i="13"/>
  <c r="O2007" i="13"/>
  <c r="M2007" i="13"/>
  <c r="O2006" i="13"/>
  <c r="M2006" i="13"/>
  <c r="O2003" i="13"/>
  <c r="M2003" i="13"/>
  <c r="O2002" i="13"/>
  <c r="M2002" i="13"/>
  <c r="D2000" i="13"/>
  <c r="C2000" i="13"/>
  <c r="C2001" i="13" s="1"/>
  <c r="C2002" i="13" s="1"/>
  <c r="C2003" i="13" s="1"/>
  <c r="C2004" i="13" s="1"/>
  <c r="C2005" i="13" s="1"/>
  <c r="C2006" i="13" s="1"/>
  <c r="C2007" i="13" s="1"/>
  <c r="C2008" i="13" s="1"/>
  <c r="C2009" i="13" s="1"/>
  <c r="C2010" i="13" s="1"/>
  <c r="C2011" i="13" s="1"/>
  <c r="C2012" i="13" s="1"/>
  <c r="C2013" i="13" s="1"/>
  <c r="C2014" i="13" s="1"/>
  <c r="C2015" i="13" s="1"/>
  <c r="C2016" i="13" s="1"/>
  <c r="C2017" i="13" s="1"/>
  <c r="C2018" i="13" s="1"/>
  <c r="C2019" i="13" s="1"/>
  <c r="C2020" i="13" s="1"/>
  <c r="C2021" i="13" s="1"/>
  <c r="C2022" i="13" s="1"/>
  <c r="C2023" i="13" s="1"/>
  <c r="C2024" i="13" s="1"/>
  <c r="C2025" i="13" s="1"/>
  <c r="C2026" i="13" s="1"/>
  <c r="C2027" i="13" s="1"/>
  <c r="C2028" i="13" s="1"/>
  <c r="C2029" i="13" s="1"/>
  <c r="L1995" i="13"/>
  <c r="J1993" i="13"/>
  <c r="L1987" i="13" s="1"/>
  <c r="P1981" i="13"/>
  <c r="O1981" i="13"/>
  <c r="J1906" i="13"/>
  <c r="J1820" i="13"/>
  <c r="J1734" i="13"/>
  <c r="J1648" i="13"/>
  <c r="J1562" i="13"/>
  <c r="J1476" i="13"/>
  <c r="J1390" i="13"/>
  <c r="J1304" i="13"/>
  <c r="J1218" i="13"/>
  <c r="J1132" i="13"/>
  <c r="J1046" i="13"/>
  <c r="J960" i="13"/>
  <c r="J874" i="13"/>
  <c r="J788" i="13"/>
  <c r="J700" i="13"/>
  <c r="J612" i="13"/>
  <c r="J526" i="13"/>
  <c r="J440" i="13"/>
  <c r="J354" i="13"/>
  <c r="J268" i="13"/>
  <c r="J182" i="13"/>
  <c r="P2054" i="13" l="1"/>
  <c r="P2058" i="13"/>
  <c r="P2044" i="13"/>
  <c r="P2048" i="13"/>
  <c r="P2024" i="13"/>
  <c r="P2002" i="13"/>
  <c r="P2006" i="13"/>
  <c r="P2008" i="13"/>
  <c r="P2012" i="13"/>
  <c r="P2026" i="13"/>
  <c r="P2030" i="13"/>
  <c r="P2034" i="13"/>
  <c r="P2009" i="13"/>
  <c r="P2029" i="13"/>
  <c r="P2033" i="13"/>
  <c r="P2017" i="13"/>
  <c r="P2027" i="13"/>
  <c r="P2031" i="13"/>
  <c r="P2010" i="13"/>
  <c r="P2038" i="13"/>
  <c r="P2003" i="13"/>
  <c r="P2007" i="13"/>
  <c r="P2011" i="13"/>
  <c r="P2013" i="13"/>
  <c r="P2022" i="13"/>
  <c r="P2028" i="13"/>
  <c r="P2032" i="13"/>
  <c r="P2043" i="13"/>
  <c r="P2045" i="13"/>
  <c r="P2047" i="13"/>
  <c r="P2049" i="13"/>
  <c r="P2021" i="13"/>
  <c r="P2042" i="13"/>
  <c r="P2046" i="13"/>
  <c r="P2050" i="13"/>
  <c r="P2014" i="13"/>
  <c r="P2016" i="13"/>
  <c r="P2023" i="13"/>
  <c r="P2035" i="13"/>
  <c r="P2037" i="13"/>
  <c r="P2051" i="13"/>
  <c r="P2053" i="13"/>
  <c r="P2015" i="13"/>
  <c r="P2018" i="13"/>
  <c r="P2020" i="13"/>
  <c r="P2025" i="13"/>
  <c r="P2036" i="13"/>
  <c r="P2039" i="13"/>
  <c r="P2041" i="13"/>
  <c r="P2052" i="13"/>
  <c r="P2055" i="13"/>
  <c r="P2057" i="13"/>
  <c r="P2019" i="13"/>
  <c r="P2040" i="13"/>
  <c r="P2056" i="13"/>
  <c r="P2059" i="13"/>
  <c r="C2030" i="13"/>
  <c r="C2031" i="13" s="1"/>
  <c r="C2032" i="13" s="1"/>
  <c r="C2033" i="13" s="1"/>
  <c r="C2034" i="13" s="1"/>
  <c r="C2035" i="13" s="1"/>
  <c r="C2036" i="13" s="1"/>
  <c r="C2037" i="13" s="1"/>
  <c r="C2038" i="13" s="1"/>
  <c r="C2039" i="13" s="1"/>
  <c r="C2040" i="13" s="1"/>
  <c r="C2041" i="13" s="1"/>
  <c r="C2042" i="13" s="1"/>
  <c r="C2043" i="13" s="1"/>
  <c r="C2044" i="13" s="1"/>
  <c r="C2045" i="13" s="1"/>
  <c r="C2046" i="13" s="1"/>
  <c r="C2047" i="13" s="1"/>
  <c r="C2048" i="13" s="1"/>
  <c r="C2049" i="13" s="1"/>
  <c r="C2050" i="13" s="1"/>
  <c r="C2051" i="13" s="1"/>
  <c r="C2052" i="13" s="1"/>
  <c r="C2053" i="13" s="1"/>
  <c r="C2054" i="13" s="1"/>
  <c r="C2055" i="13" s="1"/>
  <c r="C2056" i="13" s="1"/>
  <c r="C2057" i="13" s="1"/>
  <c r="C2058" i="13" s="1"/>
  <c r="C2059" i="13" s="1"/>
  <c r="N1988" i="13"/>
  <c r="M1988" i="13"/>
  <c r="O1988" i="13" l="1"/>
  <c r="F61" i="9"/>
  <c r="C128" i="38" l="1"/>
  <c r="D128" i="38"/>
  <c r="I128" i="38"/>
  <c r="J128" i="38"/>
  <c r="K128" i="38"/>
  <c r="C129" i="38"/>
  <c r="D129" i="38"/>
  <c r="I129" i="38"/>
  <c r="J129" i="38"/>
  <c r="K129" i="38"/>
  <c r="C93" i="38"/>
  <c r="D93" i="38"/>
  <c r="I93" i="38"/>
  <c r="J93" i="38"/>
  <c r="K93" i="38"/>
  <c r="C94" i="38"/>
  <c r="D94" i="38"/>
  <c r="I94" i="38"/>
  <c r="J94" i="38"/>
  <c r="K94" i="38"/>
  <c r="C95" i="38"/>
  <c r="D95" i="38"/>
  <c r="I95" i="38"/>
  <c r="J95" i="38"/>
  <c r="K95" i="38"/>
  <c r="C36" i="38"/>
  <c r="D36" i="38"/>
  <c r="I36" i="38"/>
  <c r="J36" i="38"/>
  <c r="K36" i="38"/>
  <c r="C58" i="38"/>
  <c r="D58" i="38"/>
  <c r="I58" i="38"/>
  <c r="J58" i="38"/>
  <c r="K58" i="38"/>
  <c r="C76" i="39"/>
  <c r="D76" i="39"/>
  <c r="I76" i="39"/>
  <c r="J76" i="39"/>
  <c r="K76" i="39"/>
  <c r="G95" i="38" l="1"/>
  <c r="G129" i="38"/>
  <c r="G93" i="38"/>
  <c r="G58" i="38"/>
  <c r="G76" i="39"/>
  <c r="G128" i="38"/>
  <c r="G94" i="38"/>
  <c r="G36" i="38"/>
  <c r="C95" i="39" l="1"/>
  <c r="D95" i="39"/>
  <c r="C96" i="39"/>
  <c r="D96" i="39"/>
  <c r="C99" i="39"/>
  <c r="D99" i="39"/>
  <c r="C100" i="39"/>
  <c r="G100" i="39"/>
  <c r="D100" i="39"/>
  <c r="C101" i="39"/>
  <c r="D101" i="39"/>
  <c r="D94" i="39"/>
  <c r="G94" i="39" s="1"/>
  <c r="C94" i="39"/>
  <c r="S105" i="39"/>
  <c r="R105" i="39"/>
  <c r="Q105" i="39"/>
  <c r="E42" i="5" s="1"/>
  <c r="O105" i="39"/>
  <c r="N105" i="39"/>
  <c r="M105" i="39"/>
  <c r="F105" i="39"/>
  <c r="E105" i="39"/>
  <c r="C40" i="39"/>
  <c r="D40" i="39"/>
  <c r="I40" i="39"/>
  <c r="J40" i="39"/>
  <c r="K40" i="39"/>
  <c r="C41" i="39"/>
  <c r="D41" i="39"/>
  <c r="I41" i="39"/>
  <c r="J41" i="39"/>
  <c r="K41" i="39"/>
  <c r="C42" i="39"/>
  <c r="D42" i="39"/>
  <c r="I42" i="39"/>
  <c r="J42" i="39"/>
  <c r="K42" i="39"/>
  <c r="C43" i="39"/>
  <c r="D43" i="39"/>
  <c r="I43" i="39"/>
  <c r="J43" i="39"/>
  <c r="K43" i="39"/>
  <c r="C44" i="39"/>
  <c r="D44" i="39"/>
  <c r="I44" i="39"/>
  <c r="J44" i="39"/>
  <c r="K44" i="39"/>
  <c r="C45" i="39"/>
  <c r="D45" i="39"/>
  <c r="I45" i="39"/>
  <c r="J45" i="39"/>
  <c r="K45" i="39"/>
  <c r="C46" i="39"/>
  <c r="D46" i="39"/>
  <c r="I46" i="39"/>
  <c r="J46" i="39"/>
  <c r="K46" i="39"/>
  <c r="C47" i="39"/>
  <c r="D47" i="39"/>
  <c r="I47" i="39"/>
  <c r="J47" i="39"/>
  <c r="K47" i="39"/>
  <c r="C48" i="39"/>
  <c r="D48" i="39"/>
  <c r="I48" i="39"/>
  <c r="J48" i="39"/>
  <c r="K48" i="39"/>
  <c r="C49" i="39"/>
  <c r="D49" i="39"/>
  <c r="I49" i="39"/>
  <c r="J49" i="39"/>
  <c r="K49" i="39"/>
  <c r="C50" i="39"/>
  <c r="D50" i="39"/>
  <c r="I50" i="39"/>
  <c r="J50" i="39"/>
  <c r="K50" i="39"/>
  <c r="C51" i="39"/>
  <c r="D51" i="39"/>
  <c r="I51" i="39"/>
  <c r="J51" i="39"/>
  <c r="K51" i="39"/>
  <c r="C52" i="39"/>
  <c r="D52" i="39"/>
  <c r="I52" i="39"/>
  <c r="J52" i="39"/>
  <c r="K52" i="39"/>
  <c r="C53" i="39"/>
  <c r="D53" i="39"/>
  <c r="I53" i="39"/>
  <c r="J53" i="39"/>
  <c r="K53" i="39"/>
  <c r="C54" i="39"/>
  <c r="D54" i="39"/>
  <c r="I54" i="39"/>
  <c r="J54" i="39"/>
  <c r="K54" i="39"/>
  <c r="C55" i="39"/>
  <c r="D55" i="39"/>
  <c r="I55" i="39"/>
  <c r="J55" i="39"/>
  <c r="K55" i="39"/>
  <c r="C56" i="39"/>
  <c r="D56" i="39"/>
  <c r="G56" i="39" s="1"/>
  <c r="I56" i="39"/>
  <c r="J56" i="39"/>
  <c r="K56" i="39"/>
  <c r="C57" i="39"/>
  <c r="D57" i="39"/>
  <c r="I57" i="39"/>
  <c r="J57" i="39"/>
  <c r="K57" i="39"/>
  <c r="C58" i="39"/>
  <c r="D58" i="39"/>
  <c r="I58" i="39"/>
  <c r="J58" i="39"/>
  <c r="K58" i="39"/>
  <c r="C59" i="39"/>
  <c r="D59" i="39"/>
  <c r="I59" i="39"/>
  <c r="J59" i="39"/>
  <c r="K59" i="39"/>
  <c r="C60" i="39"/>
  <c r="D60" i="39"/>
  <c r="I60" i="39"/>
  <c r="J60" i="39"/>
  <c r="K60" i="39"/>
  <c r="C61" i="39"/>
  <c r="D61" i="39"/>
  <c r="I61" i="39"/>
  <c r="J61" i="39"/>
  <c r="K61" i="39"/>
  <c r="C62" i="39"/>
  <c r="D62" i="39"/>
  <c r="I62" i="39"/>
  <c r="J62" i="39"/>
  <c r="K62" i="39"/>
  <c r="C63" i="39"/>
  <c r="D63" i="39"/>
  <c r="I63" i="39"/>
  <c r="J63" i="39"/>
  <c r="K63" i="39"/>
  <c r="C64" i="39"/>
  <c r="D64" i="39"/>
  <c r="I64" i="39"/>
  <c r="J64" i="39"/>
  <c r="K64" i="39"/>
  <c r="C65" i="39"/>
  <c r="D65" i="39"/>
  <c r="I65" i="39"/>
  <c r="J65" i="39"/>
  <c r="K65" i="39"/>
  <c r="C66" i="39"/>
  <c r="D66" i="39"/>
  <c r="I66" i="39"/>
  <c r="J66" i="39"/>
  <c r="K66" i="39"/>
  <c r="C67" i="39"/>
  <c r="D67" i="39"/>
  <c r="I67" i="39"/>
  <c r="J67" i="39"/>
  <c r="K67" i="39"/>
  <c r="C68" i="39"/>
  <c r="D68" i="39"/>
  <c r="I68" i="39"/>
  <c r="J68" i="39"/>
  <c r="K68" i="39"/>
  <c r="C69" i="39"/>
  <c r="D69" i="39"/>
  <c r="I69" i="39"/>
  <c r="J69" i="39"/>
  <c r="K69" i="39"/>
  <c r="E34" i="5"/>
  <c r="G34" i="5"/>
  <c r="D159" i="38"/>
  <c r="C159" i="38"/>
  <c r="C146" i="38"/>
  <c r="D146" i="38"/>
  <c r="C147" i="38"/>
  <c r="D147" i="38"/>
  <c r="C150" i="38"/>
  <c r="D150" i="38"/>
  <c r="C151" i="38"/>
  <c r="D151" i="38"/>
  <c r="C152" i="38"/>
  <c r="D152" i="38"/>
  <c r="D145" i="38"/>
  <c r="C145" i="38"/>
  <c r="S73" i="38"/>
  <c r="R73" i="38"/>
  <c r="Q73" i="38"/>
  <c r="E73" i="38"/>
  <c r="F73" i="38"/>
  <c r="C69" i="38"/>
  <c r="D69" i="38"/>
  <c r="D66" i="38"/>
  <c r="C66" i="38"/>
  <c r="I36" i="30"/>
  <c r="I32" i="30"/>
  <c r="F39" i="9"/>
  <c r="F41" i="9" s="1"/>
  <c r="G161" i="2" s="1"/>
  <c r="D33" i="9"/>
  <c r="G146" i="2" s="1"/>
  <c r="L44" i="2" s="1"/>
  <c r="L48" i="2" s="1"/>
  <c r="K53" i="6"/>
  <c r="E53" i="6" s="1"/>
  <c r="J56" i="6"/>
  <c r="J45" i="6"/>
  <c r="K45" i="6" s="1"/>
  <c r="E45" i="6" s="1"/>
  <c r="K39" i="6"/>
  <c r="E39" i="6" s="1"/>
  <c r="E57" i="6"/>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D707" i="13"/>
  <c r="C707" i="13"/>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L702" i="13"/>
  <c r="L694" i="13"/>
  <c r="P688" i="13"/>
  <c r="O688" i="13"/>
  <c r="O776" i="13"/>
  <c r="P776"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O1932" i="13"/>
  <c r="M1932" i="13"/>
  <c r="O1931" i="13"/>
  <c r="M1931" i="13"/>
  <c r="O1930" i="13"/>
  <c r="M1930" i="13"/>
  <c r="O1929" i="13"/>
  <c r="M1929" i="13"/>
  <c r="O1928" i="13"/>
  <c r="M1928" i="13"/>
  <c r="O1927" i="13"/>
  <c r="M1927" i="13"/>
  <c r="O1926" i="13"/>
  <c r="M1926" i="13"/>
  <c r="O1925" i="13"/>
  <c r="M1925" i="13"/>
  <c r="O1924" i="13"/>
  <c r="M1924" i="13"/>
  <c r="O1923" i="13"/>
  <c r="M1923" i="13"/>
  <c r="O1922" i="13"/>
  <c r="M1922" i="13"/>
  <c r="O1921" i="13"/>
  <c r="M1921" i="13"/>
  <c r="D1913" i="13"/>
  <c r="C1913" i="13"/>
  <c r="C1914" i="13" s="1"/>
  <c r="C1915" i="13" s="1"/>
  <c r="C1916" i="13" s="1"/>
  <c r="C1917" i="13" s="1"/>
  <c r="C1918" i="13" s="1"/>
  <c r="C1919" i="13" s="1"/>
  <c r="C1920" i="13" s="1"/>
  <c r="C1921" i="13" s="1"/>
  <c r="C1922" i="13" s="1"/>
  <c r="C1923" i="13" s="1"/>
  <c r="C1924" i="13" s="1"/>
  <c r="C1925" i="13" s="1"/>
  <c r="C1926" i="13" s="1"/>
  <c r="C1927" i="13" s="1"/>
  <c r="C1928" i="13" s="1"/>
  <c r="C1929" i="13" s="1"/>
  <c r="C1930" i="13" s="1"/>
  <c r="C1931" i="13" s="1"/>
  <c r="C1932" i="13" s="1"/>
  <c r="C1933" i="13" s="1"/>
  <c r="C1934" i="13" s="1"/>
  <c r="C1935" i="13" s="1"/>
  <c r="C1936" i="13" s="1"/>
  <c r="C1937" i="13" s="1"/>
  <c r="C1938" i="13" s="1"/>
  <c r="C1939" i="13"/>
  <c r="C1940" i="13" s="1"/>
  <c r="C1941" i="13" s="1"/>
  <c r="C1942" i="13" s="1"/>
  <c r="M1901" i="13" s="1"/>
  <c r="L1908" i="13"/>
  <c r="L1900" i="13"/>
  <c r="P1894" i="13"/>
  <c r="O1894"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O1847" i="13"/>
  <c r="M1847" i="13"/>
  <c r="O1846" i="13"/>
  <c r="M1846" i="13"/>
  <c r="O1845" i="13"/>
  <c r="M1845" i="13"/>
  <c r="O1844" i="13"/>
  <c r="M1844" i="13"/>
  <c r="O1843" i="13"/>
  <c r="M1843" i="13"/>
  <c r="O1842" i="13"/>
  <c r="M1842" i="13"/>
  <c r="O1841" i="13"/>
  <c r="M1841" i="13"/>
  <c r="O1840" i="13"/>
  <c r="M1840" i="13"/>
  <c r="O1839" i="13"/>
  <c r="M1839" i="13"/>
  <c r="O1838" i="13"/>
  <c r="M1838" i="13"/>
  <c r="O1837" i="13"/>
  <c r="M1837" i="13"/>
  <c r="O1836" i="13"/>
  <c r="M1836" i="13"/>
  <c r="O1835" i="13"/>
  <c r="M1835" i="13"/>
  <c r="O1834" i="13"/>
  <c r="M1834" i="13"/>
  <c r="O1833" i="13"/>
  <c r="M1833" i="13"/>
  <c r="D1827" i="13"/>
  <c r="C1827" i="13"/>
  <c r="C1828" i="13"/>
  <c r="C1829" i="13"/>
  <c r="C1830" i="13" s="1"/>
  <c r="C1831" i="13" s="1"/>
  <c r="C1832" i="13" s="1"/>
  <c r="C1833" i="13" s="1"/>
  <c r="C1834" i="13" s="1"/>
  <c r="C1835" i="13" s="1"/>
  <c r="C1836" i="13" s="1"/>
  <c r="C1837" i="13" s="1"/>
  <c r="C1838" i="13" s="1"/>
  <c r="C1839" i="13" s="1"/>
  <c r="C1840" i="13" s="1"/>
  <c r="C1841" i="13" s="1"/>
  <c r="C1842" i="13" s="1"/>
  <c r="C1843" i="13" s="1"/>
  <c r="C1844" i="13" s="1"/>
  <c r="C1845" i="13" s="1"/>
  <c r="C1846" i="13" s="1"/>
  <c r="C1847" i="13" s="1"/>
  <c r="C1848" i="13" s="1"/>
  <c r="C1849" i="13" s="1"/>
  <c r="C1850" i="13" s="1"/>
  <c r="C1851" i="13" s="1"/>
  <c r="C1852" i="13" s="1"/>
  <c r="C1853" i="13" s="1"/>
  <c r="C1854" i="13" s="1"/>
  <c r="C1855" i="13" s="1"/>
  <c r="C1856" i="13" s="1"/>
  <c r="N1815" i="13" s="1"/>
  <c r="L1822" i="13"/>
  <c r="L1814" i="13"/>
  <c r="P1808" i="13"/>
  <c r="O1808"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O1762" i="13"/>
  <c r="M1762" i="13"/>
  <c r="O1761" i="13"/>
  <c r="M1761" i="13"/>
  <c r="O1760" i="13"/>
  <c r="M1760" i="13"/>
  <c r="O1759" i="13"/>
  <c r="M1759" i="13"/>
  <c r="O1758" i="13"/>
  <c r="M1758" i="13"/>
  <c r="O1757" i="13"/>
  <c r="M1757" i="13"/>
  <c r="O1756" i="13"/>
  <c r="M1756" i="13"/>
  <c r="O1755" i="13"/>
  <c r="M1755" i="13"/>
  <c r="O1754" i="13"/>
  <c r="M1754" i="13"/>
  <c r="O1753" i="13"/>
  <c r="M1753" i="13"/>
  <c r="O1752" i="13"/>
  <c r="M1752" i="13"/>
  <c r="O1751" i="13"/>
  <c r="M1751" i="13"/>
  <c r="O1750" i="13"/>
  <c r="M1750" i="13"/>
  <c r="O1749" i="13"/>
  <c r="M1749" i="13"/>
  <c r="O1748" i="13"/>
  <c r="M1748" i="13"/>
  <c r="O1747" i="13"/>
  <c r="M1747" i="13"/>
  <c r="O1746" i="13"/>
  <c r="M1746" i="13"/>
  <c r="O1745" i="13"/>
  <c r="M1745" i="13"/>
  <c r="D1741" i="13"/>
  <c r="C1741" i="13"/>
  <c r="C1742" i="13" s="1"/>
  <c r="C1743" i="13" s="1"/>
  <c r="C1744" i="13" s="1"/>
  <c r="C1745" i="13" s="1"/>
  <c r="C1746" i="13" s="1"/>
  <c r="C1747" i="13" s="1"/>
  <c r="C1748" i="13" s="1"/>
  <c r="C1749" i="13" s="1"/>
  <c r="C1750" i="13" s="1"/>
  <c r="C1751" i="13" s="1"/>
  <c r="C1752" i="13" s="1"/>
  <c r="C1753" i="13" s="1"/>
  <c r="C1754" i="13" s="1"/>
  <c r="C1755" i="13" s="1"/>
  <c r="C1756" i="13" s="1"/>
  <c r="C1757" i="13" s="1"/>
  <c r="C1758" i="13" s="1"/>
  <c r="C1759" i="13" s="1"/>
  <c r="C1760" i="13" s="1"/>
  <c r="C1761" i="13" s="1"/>
  <c r="C1762" i="13" s="1"/>
  <c r="C1763" i="13" s="1"/>
  <c r="C1764" i="13" s="1"/>
  <c r="C1765" i="13" s="1"/>
  <c r="C1766" i="13" s="1"/>
  <c r="C1767" i="13" s="1"/>
  <c r="C1768" i="13" s="1"/>
  <c r="C1769" i="13" s="1"/>
  <c r="C1770" i="13" s="1"/>
  <c r="L1736" i="13"/>
  <c r="L1728" i="13"/>
  <c r="P1722" i="13"/>
  <c r="O1722"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O1675" i="13"/>
  <c r="M1675" i="13"/>
  <c r="O1674" i="13"/>
  <c r="M1674" i="13"/>
  <c r="O1673" i="13"/>
  <c r="M1673" i="13"/>
  <c r="O1672" i="13"/>
  <c r="M1672" i="13"/>
  <c r="O1671" i="13"/>
  <c r="M1671" i="13"/>
  <c r="O1670" i="13"/>
  <c r="M1670" i="13"/>
  <c r="O1669" i="13"/>
  <c r="M1669" i="13"/>
  <c r="O1668" i="13"/>
  <c r="M1668" i="13"/>
  <c r="O1667" i="13"/>
  <c r="M1667" i="13"/>
  <c r="O1666" i="13"/>
  <c r="M1666" i="13"/>
  <c r="O1665" i="13"/>
  <c r="M1665" i="13"/>
  <c r="O1664" i="13"/>
  <c r="M1664" i="13"/>
  <c r="O1663" i="13"/>
  <c r="M1663" i="13"/>
  <c r="O1662" i="13"/>
  <c r="M1662" i="13"/>
  <c r="O1661" i="13"/>
  <c r="M1661" i="13"/>
  <c r="O1660" i="13"/>
  <c r="M1660" i="13"/>
  <c r="O1659" i="13"/>
  <c r="M1659" i="13"/>
  <c r="D1655" i="13"/>
  <c r="C1655" i="13"/>
  <c r="C1656" i="13" s="1"/>
  <c r="C1657" i="13" s="1"/>
  <c r="C1658" i="13" s="1"/>
  <c r="C1659" i="13" s="1"/>
  <c r="C1660" i="13" s="1"/>
  <c r="C1661" i="13" s="1"/>
  <c r="C1662" i="13" s="1"/>
  <c r="C1663" i="13" s="1"/>
  <c r="C1664" i="13" s="1"/>
  <c r="C1665" i="13" s="1"/>
  <c r="C1666" i="13" s="1"/>
  <c r="C1667" i="13" s="1"/>
  <c r="C1668" i="13" s="1"/>
  <c r="C1669" i="13" s="1"/>
  <c r="C1670" i="13" s="1"/>
  <c r="C1671" i="13" s="1"/>
  <c r="C1672" i="13" s="1"/>
  <c r="C1673" i="13" s="1"/>
  <c r="C1674" i="13" s="1"/>
  <c r="C1675" i="13" s="1"/>
  <c r="C1676" i="13" s="1"/>
  <c r="C1677" i="13" s="1"/>
  <c r="C1678" i="13" s="1"/>
  <c r="C1679" i="13" s="1"/>
  <c r="C1680" i="13" s="1"/>
  <c r="C1681" i="13" s="1"/>
  <c r="C1682" i="13" s="1"/>
  <c r="C1683" i="13" s="1"/>
  <c r="C1684" i="13" s="1"/>
  <c r="C1685" i="13" s="1"/>
  <c r="C1686" i="13" s="1"/>
  <c r="C1687" i="13" s="1"/>
  <c r="C1688" i="13" s="1"/>
  <c r="C1689" i="13" s="1"/>
  <c r="C1690" i="13" s="1"/>
  <c r="C1691" i="13" s="1"/>
  <c r="C1692" i="13" s="1"/>
  <c r="C1693" i="13" s="1"/>
  <c r="C1694" i="13" s="1"/>
  <c r="C1695" i="13" s="1"/>
  <c r="C1696" i="13" s="1"/>
  <c r="C1697" i="13" s="1"/>
  <c r="C1698" i="13" s="1"/>
  <c r="C1699" i="13" s="1"/>
  <c r="C1700" i="13" s="1"/>
  <c r="C1701" i="13" s="1"/>
  <c r="C1702" i="13" s="1"/>
  <c r="C1703" i="13" s="1"/>
  <c r="C1704" i="13" s="1"/>
  <c r="C1705" i="13" s="1"/>
  <c r="C1706" i="13" s="1"/>
  <c r="C1707" i="13" s="1"/>
  <c r="C1708" i="13" s="1"/>
  <c r="C1709" i="13" s="1"/>
  <c r="C1710" i="13" s="1"/>
  <c r="C1711" i="13" s="1"/>
  <c r="C1712" i="13" s="1"/>
  <c r="C1713" i="13" s="1"/>
  <c r="C1714" i="13" s="1"/>
  <c r="J1652" i="13"/>
  <c r="E1655" i="13" s="1"/>
  <c r="F1655" i="13" s="1"/>
  <c r="L1650" i="13"/>
  <c r="L1642" i="13"/>
  <c r="P1636" i="13"/>
  <c r="O1636"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O1588" i="13"/>
  <c r="M1588" i="13"/>
  <c r="O1587" i="13"/>
  <c r="M1587" i="13"/>
  <c r="O1586" i="13"/>
  <c r="M1586" i="13"/>
  <c r="O1585" i="13"/>
  <c r="M1585" i="13"/>
  <c r="O1584" i="13"/>
  <c r="M1584" i="13"/>
  <c r="O1583" i="13"/>
  <c r="M1583" i="13"/>
  <c r="O1582" i="13"/>
  <c r="M1582" i="13"/>
  <c r="O1581" i="13"/>
  <c r="M1581" i="13"/>
  <c r="O1580" i="13"/>
  <c r="M1580" i="13"/>
  <c r="O1579" i="13"/>
  <c r="M1579" i="13"/>
  <c r="O1578" i="13"/>
  <c r="M1578" i="13"/>
  <c r="O1577" i="13"/>
  <c r="M1577" i="13"/>
  <c r="O1576" i="13"/>
  <c r="M1576" i="13"/>
  <c r="D1569" i="13"/>
  <c r="C1569" i="13"/>
  <c r="C1570" i="13" s="1"/>
  <c r="C1571" i="13" s="1"/>
  <c r="C1572" i="13" s="1"/>
  <c r="C1573" i="13" s="1"/>
  <c r="C1574" i="13" s="1"/>
  <c r="C1575" i="13" s="1"/>
  <c r="C1576" i="13" s="1"/>
  <c r="C1577" i="13" s="1"/>
  <c r="C1578" i="13" s="1"/>
  <c r="C1579" i="13" s="1"/>
  <c r="C1580" i="13" s="1"/>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L1564" i="13"/>
  <c r="L1556" i="13"/>
  <c r="P1550" i="13"/>
  <c r="O1550"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O1497" i="13"/>
  <c r="M1497" i="13"/>
  <c r="O1496" i="13"/>
  <c r="M1496" i="13"/>
  <c r="O1495" i="13"/>
  <c r="M1495" i="13"/>
  <c r="O1494" i="13"/>
  <c r="M1494" i="13"/>
  <c r="O1493" i="13"/>
  <c r="M1493" i="13"/>
  <c r="O1492" i="13"/>
  <c r="M1492" i="13"/>
  <c r="O1491" i="13"/>
  <c r="M1491" i="13"/>
  <c r="O1490" i="13"/>
  <c r="M1490" i="13"/>
  <c r="D1483" i="13"/>
  <c r="C1483" i="13"/>
  <c r="C1484" i="13"/>
  <c r="C1485" i="13" s="1"/>
  <c r="C1486" i="13" s="1"/>
  <c r="C1487" i="13" s="1"/>
  <c r="C1488" i="13" s="1"/>
  <c r="C1489" i="13" s="1"/>
  <c r="C1490" i="13" s="1"/>
  <c r="C1491" i="13" s="1"/>
  <c r="C1492" i="13" s="1"/>
  <c r="C1493" i="13" s="1"/>
  <c r="C1494" i="13" s="1"/>
  <c r="C1495" i="13" s="1"/>
  <c r="C1496" i="13" s="1"/>
  <c r="C1497" i="13" s="1"/>
  <c r="C1498" i="13" s="1"/>
  <c r="C1499" i="13" s="1"/>
  <c r="C1500" i="13" s="1"/>
  <c r="C1501" i="13" s="1"/>
  <c r="C1502" i="13" s="1"/>
  <c r="C1503" i="13" s="1"/>
  <c r="C1504" i="13" s="1"/>
  <c r="C1505" i="13" s="1"/>
  <c r="C1506" i="13" s="1"/>
  <c r="C1507" i="13" s="1"/>
  <c r="C1508" i="13" s="1"/>
  <c r="C1509" i="13" s="1"/>
  <c r="C1510" i="13" s="1"/>
  <c r="C1511" i="13" s="1"/>
  <c r="C1512" i="13" s="1"/>
  <c r="L1478" i="13"/>
  <c r="L1470" i="13"/>
  <c r="P1464" i="13"/>
  <c r="O1464"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O1414" i="13"/>
  <c r="M1414" i="13"/>
  <c r="O1413" i="13"/>
  <c r="M1413" i="13"/>
  <c r="O1412" i="13"/>
  <c r="M1412" i="13"/>
  <c r="O1411" i="13"/>
  <c r="M1411" i="13"/>
  <c r="O1410" i="13"/>
  <c r="M1410" i="13"/>
  <c r="O1409" i="13"/>
  <c r="M1409" i="13"/>
  <c r="O1408" i="13"/>
  <c r="M1408" i="13"/>
  <c r="O1407" i="13"/>
  <c r="M1407" i="13"/>
  <c r="O1406" i="13"/>
  <c r="M1406" i="13"/>
  <c r="O1405" i="13"/>
  <c r="M1405" i="13"/>
  <c r="O1404" i="13"/>
  <c r="M1404" i="13"/>
  <c r="D1397" i="13"/>
  <c r="C1397" i="13"/>
  <c r="C1398" i="13" s="1"/>
  <c r="C1399" i="13" s="1"/>
  <c r="C1400" i="13" s="1"/>
  <c r="C1401" i="13" s="1"/>
  <c r="C1402" i="13" s="1"/>
  <c r="C1403" i="13" s="1"/>
  <c r="C1404" i="13" s="1"/>
  <c r="C1405" i="13" s="1"/>
  <c r="C1406" i="13" s="1"/>
  <c r="C1407" i="13" s="1"/>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L1392" i="13"/>
  <c r="L1384" i="13"/>
  <c r="P1378" i="13"/>
  <c r="O1378"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D1311" i="13"/>
  <c r="C1311" i="13"/>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C1338" i="13" s="1"/>
  <c r="C1339" i="13" s="1"/>
  <c r="C1340" i="13" s="1"/>
  <c r="L1306" i="13"/>
  <c r="L1298" i="13"/>
  <c r="P1292" i="13"/>
  <c r="O1292"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D1225" i="13"/>
  <c r="C1225" i="13"/>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C1251" i="13" s="1"/>
  <c r="C1252" i="13" s="1"/>
  <c r="C1253" i="13" s="1"/>
  <c r="C1254" i="13" s="1"/>
  <c r="L1220" i="13"/>
  <c r="L1212" i="13"/>
  <c r="P1206" i="13"/>
  <c r="O1206"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D1139" i="13"/>
  <c r="C1139" i="13"/>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N1127" i="13" s="1"/>
  <c r="L1134" i="13"/>
  <c r="L1126" i="13"/>
  <c r="P1120" i="13"/>
  <c r="O1120"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D1053" i="13"/>
  <c r="C1053" i="13"/>
  <c r="C1054" i="13" s="1"/>
  <c r="C1055" i="13"/>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L1048" i="13"/>
  <c r="L1040" i="13"/>
  <c r="P1034" i="13"/>
  <c r="O1034"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D967" i="13"/>
  <c r="C967" i="13"/>
  <c r="C968" i="13"/>
  <c r="C969" i="13"/>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M955" i="13" s="1"/>
  <c r="L962" i="13"/>
  <c r="L954" i="13"/>
  <c r="P948" i="13"/>
  <c r="O948"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D881" i="13"/>
  <c r="C881" i="13"/>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L876" i="13"/>
  <c r="L868" i="13"/>
  <c r="P862" i="13"/>
  <c r="O862"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D795" i="13"/>
  <c r="C795" i="13"/>
  <c r="C796" i="13" s="1"/>
  <c r="C797" i="13" s="1"/>
  <c r="C798" i="13" s="1"/>
  <c r="C799" i="13" s="1"/>
  <c r="C800" i="13" s="1"/>
  <c r="C801" i="13" s="1"/>
  <c r="C802" i="13" s="1"/>
  <c r="C803" i="13"/>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L790" i="13"/>
  <c r="L782"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D619" i="13"/>
  <c r="C619" i="13"/>
  <c r="C620" i="13" s="1"/>
  <c r="C621" i="13" s="1"/>
  <c r="C622" i="13"/>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L614" i="13"/>
  <c r="L606" i="13"/>
  <c r="P600" i="13"/>
  <c r="O600"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D533" i="13"/>
  <c r="C533" i="13"/>
  <c r="C534" i="13" s="1"/>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L528" i="13"/>
  <c r="L520" i="13"/>
  <c r="P514" i="13"/>
  <c r="O514"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D447" i="13"/>
  <c r="C447"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L442" i="13"/>
  <c r="L434" i="13"/>
  <c r="P428" i="13"/>
  <c r="O428"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L356" i="13"/>
  <c r="L348" i="13"/>
  <c r="P342" i="13"/>
  <c r="O342"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D275"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L270" i="13"/>
  <c r="L262" i="13"/>
  <c r="P256" i="13"/>
  <c r="O256"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D189" i="13"/>
  <c r="C189" i="13"/>
  <c r="C190" i="13"/>
  <c r="C191" i="13"/>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G155" i="2"/>
  <c r="G154" i="2"/>
  <c r="G153"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s="1"/>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K1879" i="20"/>
  <c r="I1878" i="20"/>
  <c r="O1865" i="20"/>
  <c r="N1865" i="20"/>
  <c r="C1795" i="20"/>
  <c r="C1796" i="20" s="1"/>
  <c r="C1797" i="20" s="1"/>
  <c r="C1798" i="20" s="1"/>
  <c r="C1799" i="20" s="1"/>
  <c r="C1800" i="20" s="1"/>
  <c r="C1801" i="20" s="1"/>
  <c r="C1802" i="20" s="1"/>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C1825" i="20" s="1"/>
  <c r="K1790" i="20"/>
  <c r="I1789" i="20"/>
  <c r="D1788" i="20"/>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I1702" i="20"/>
  <c r="E1705" i="20" s="1"/>
  <c r="K1700" i="20"/>
  <c r="I1699" i="20"/>
  <c r="O1686" i="20"/>
  <c r="N1686" i="20"/>
  <c r="D1616" i="20"/>
  <c r="C1616" i="20"/>
  <c r="C1617" i="20" s="1"/>
  <c r="C1618" i="20" s="1"/>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K1611" i="20"/>
  <c r="I1610" i="20"/>
  <c r="O1597" i="20"/>
  <c r="N1597" i="20"/>
  <c r="D1527" i="20"/>
  <c r="C1527" i="20"/>
  <c r="C1528" i="20" s="1"/>
  <c r="C1529" i="20" s="1"/>
  <c r="C1530" i="20" s="1"/>
  <c r="C1531" i="20" s="1"/>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K1522" i="20"/>
  <c r="I1521" i="20"/>
  <c r="O1508" i="20"/>
  <c r="N1508" i="20"/>
  <c r="D1438" i="20"/>
  <c r="C1438" i="20"/>
  <c r="C1439" i="20" s="1"/>
  <c r="C1440" i="20" s="1"/>
  <c r="C1441" i="20" s="1"/>
  <c r="C1442" i="20" s="1"/>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I1435" i="20"/>
  <c r="E1438" i="20" s="1"/>
  <c r="F1438" i="20" s="1"/>
  <c r="D1439" i="20" s="1"/>
  <c r="K1433" i="20"/>
  <c r="I1432" i="20"/>
  <c r="O1419" i="20"/>
  <c r="N1419" i="20"/>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K1344" i="20"/>
  <c r="I1343" i="20"/>
  <c r="O1330" i="20"/>
  <c r="N1330" i="20"/>
  <c r="C1274" i="20"/>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D1260" i="20"/>
  <c r="C1260" i="20"/>
  <c r="C1261" i="20" s="1"/>
  <c r="C1262" i="20" s="1"/>
  <c r="C1263" i="20" s="1"/>
  <c r="C1264" i="20" s="1"/>
  <c r="C1265" i="20" s="1"/>
  <c r="C1266" i="20" s="1"/>
  <c r="C1267" i="20" s="1"/>
  <c r="C1268" i="20" s="1"/>
  <c r="C1269" i="20" s="1"/>
  <c r="C1270" i="20" s="1"/>
  <c r="C1271" i="20" s="1"/>
  <c r="C1272" i="20" s="1"/>
  <c r="C1273" i="20" s="1"/>
  <c r="K1255" i="20"/>
  <c r="I1254" i="20"/>
  <c r="O1241" i="20"/>
  <c r="N1241" i="20"/>
  <c r="C1183" i="20"/>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D1171" i="20"/>
  <c r="C1171" i="20"/>
  <c r="C1172" i="20" s="1"/>
  <c r="C1173" i="20" s="1"/>
  <c r="C1174" i="20" s="1"/>
  <c r="C1175" i="20" s="1"/>
  <c r="C1176" i="20" s="1"/>
  <c r="C1177" i="20" s="1"/>
  <c r="C1178" i="20" s="1"/>
  <c r="C1179" i="20" s="1"/>
  <c r="C1180" i="20" s="1"/>
  <c r="C1181" i="20" s="1"/>
  <c r="C1182"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K721" i="20"/>
  <c r="I720" i="20"/>
  <c r="O707" i="20"/>
  <c r="N707" i="20"/>
  <c r="C663" i="20"/>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c r="C571" i="20" s="1"/>
  <c r="C572" i="20" s="1"/>
  <c r="C573" i="20" s="1"/>
  <c r="C574" i="20" s="1"/>
  <c r="C575" i="20" s="1"/>
  <c r="C576" i="20" s="1"/>
  <c r="C57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c r="C302" i="20" s="1"/>
  <c r="C303" i="20" s="1"/>
  <c r="C304" i="20" s="1"/>
  <c r="C305" i="20" s="1"/>
  <c r="C306" i="20" s="1"/>
  <c r="C307" i="20" s="1"/>
  <c r="C308" i="20" s="1"/>
  <c r="C30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21" i="50"/>
  <c r="F22" i="50" s="1"/>
  <c r="H10" i="50"/>
  <c r="D21" i="50" s="1"/>
  <c r="F10" i="50"/>
  <c r="B10" i="50"/>
  <c r="G22" i="49"/>
  <c r="G23" i="49" s="1"/>
  <c r="G24" i="49" s="1"/>
  <c r="G25" i="49" s="1"/>
  <c r="G26" i="49" s="1"/>
  <c r="G27" i="49" s="1"/>
  <c r="G28" i="49" s="1"/>
  <c r="G29" i="49" s="1"/>
  <c r="G30" i="49" s="1"/>
  <c r="G31" i="49" s="1"/>
  <c r="G32" i="49" s="1"/>
  <c r="F23" i="49"/>
  <c r="F21" i="49"/>
  <c r="F22" i="49" s="1"/>
  <c r="H10" i="49"/>
  <c r="D21" i="49" s="1"/>
  <c r="F10" i="49"/>
  <c r="B10" i="49"/>
  <c r="G22" i="47"/>
  <c r="G23" i="47" s="1"/>
  <c r="G24" i="47" s="1"/>
  <c r="G25" i="47" s="1"/>
  <c r="G26" i="47" s="1"/>
  <c r="G27" i="47" s="1"/>
  <c r="G28" i="47" s="1"/>
  <c r="G29" i="47" s="1"/>
  <c r="G30" i="47" s="1"/>
  <c r="G31" i="47" s="1"/>
  <c r="G32" i="47" s="1"/>
  <c r="F22" i="47"/>
  <c r="F23" i="47" s="1"/>
  <c r="F24" i="47" s="1"/>
  <c r="F21" i="47"/>
  <c r="H10" i="47"/>
  <c r="D21" i="47" s="1"/>
  <c r="F10" i="47"/>
  <c r="B10" i="47"/>
  <c r="M64" i="11"/>
  <c r="M54" i="11"/>
  <c r="E51" i="11"/>
  <c r="E53" i="11" s="1"/>
  <c r="E55" i="11" s="1"/>
  <c r="C50" i="11"/>
  <c r="F32" i="10"/>
  <c r="F27" i="10"/>
  <c r="F23" i="10"/>
  <c r="F19" i="10"/>
  <c r="F15" i="10"/>
  <c r="F11" i="10"/>
  <c r="K42" i="6"/>
  <c r="E42" i="6" s="1"/>
  <c r="K51" i="6"/>
  <c r="E51" i="6" s="1"/>
  <c r="I42" i="35"/>
  <c r="G84" i="2" s="1"/>
  <c r="G42" i="41"/>
  <c r="F42" i="41"/>
  <c r="E42" i="41"/>
  <c r="D42" i="41"/>
  <c r="C42" i="41"/>
  <c r="F23" i="41"/>
  <c r="L251" i="2" s="1"/>
  <c r="E23" i="41"/>
  <c r="L250" i="2" s="1"/>
  <c r="D23" i="41"/>
  <c r="L249" i="2" s="1"/>
  <c r="G256" i="2" s="1"/>
  <c r="J256" i="2" s="1"/>
  <c r="C23" i="41"/>
  <c r="L248" i="2" s="1"/>
  <c r="F62" i="35"/>
  <c r="E62" i="35"/>
  <c r="L227" i="2" s="1"/>
  <c r="D62" i="35"/>
  <c r="C62" i="35"/>
  <c r="L228" i="2" s="1"/>
  <c r="K42" i="35"/>
  <c r="G86" i="2" s="1"/>
  <c r="J42" i="35"/>
  <c r="G85" i="2" s="1"/>
  <c r="H42" i="35"/>
  <c r="G83" i="2" s="1"/>
  <c r="L83" i="2" s="1"/>
  <c r="G42" i="35"/>
  <c r="G82" i="2" s="1"/>
  <c r="L82" i="2" s="1"/>
  <c r="F42" i="35"/>
  <c r="G81" i="2" s="1"/>
  <c r="E42" i="35"/>
  <c r="G80" i="2"/>
  <c r="D42" i="35"/>
  <c r="G79" i="2" s="1"/>
  <c r="L79" i="2" s="1"/>
  <c r="C42" i="35"/>
  <c r="G78" i="2" s="1"/>
  <c r="L78" i="2" s="1"/>
  <c r="K23" i="35"/>
  <c r="J23" i="35"/>
  <c r="G73" i="2" s="1"/>
  <c r="H23" i="35"/>
  <c r="G71" i="2" s="1"/>
  <c r="L71" i="2" s="1"/>
  <c r="G23" i="35"/>
  <c r="G70" i="2" s="1"/>
  <c r="L70" i="2" s="1"/>
  <c r="F23" i="35"/>
  <c r="E23" i="35"/>
  <c r="G68" i="2" s="1"/>
  <c r="C23" i="35"/>
  <c r="G66" i="2" s="1"/>
  <c r="F17" i="48"/>
  <c r="B14" i="48"/>
  <c r="A6" i="48"/>
  <c r="I47" i="48"/>
  <c r="C26" i="48" s="1"/>
  <c r="H47" i="48"/>
  <c r="C25" i="48" s="1"/>
  <c r="G25" i="48" s="1"/>
  <c r="D47" i="48"/>
  <c r="C22" i="48" s="1"/>
  <c r="K45" i="48"/>
  <c r="K41" i="48"/>
  <c r="J47" i="48"/>
  <c r="C27" i="48" s="1"/>
  <c r="G27" i="48" s="1"/>
  <c r="G47" i="48"/>
  <c r="C24" i="48" s="1"/>
  <c r="G24" i="48" s="1"/>
  <c r="F47" i="48"/>
  <c r="C23" i="48" s="1"/>
  <c r="K37" i="48"/>
  <c r="E28" i="48"/>
  <c r="A23" i="48"/>
  <c r="A24" i="48" s="1"/>
  <c r="A25" i="48" s="1"/>
  <c r="A26" i="48" s="1"/>
  <c r="A27" i="48" s="1"/>
  <c r="E20" i="48"/>
  <c r="A4" i="48"/>
  <c r="G67" i="2"/>
  <c r="L67" i="2" s="1"/>
  <c r="C63" i="41"/>
  <c r="B48" i="41"/>
  <c r="I29" i="30"/>
  <c r="I33" i="30"/>
  <c r="I34" i="30"/>
  <c r="I38"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4" i="39"/>
  <c r="D43" i="5"/>
  <c r="D42" i="5"/>
  <c r="D27" i="5"/>
  <c r="D19" i="5"/>
  <c r="F87" i="35"/>
  <c r="F85" i="35"/>
  <c r="S155" i="38"/>
  <c r="S161" i="38" s="1"/>
  <c r="R155" i="38"/>
  <c r="R161" i="38" s="1"/>
  <c r="Q155" i="38"/>
  <c r="Q161" i="38" s="1"/>
  <c r="S72" i="38"/>
  <c r="R72" i="38"/>
  <c r="Q72" i="38"/>
  <c r="F13" i="38"/>
  <c r="B3" i="38"/>
  <c r="A73" i="38"/>
  <c r="D26" i="5" s="1"/>
  <c r="A158" i="38"/>
  <c r="A161" i="38" s="1"/>
  <c r="D35" i="5" s="1"/>
  <c r="A78" i="38"/>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G18" i="5"/>
  <c r="E18" i="5"/>
  <c r="K102" i="39"/>
  <c r="J102" i="39"/>
  <c r="I102" i="39"/>
  <c r="D102" i="39"/>
  <c r="C102" i="39"/>
  <c r="G101" i="39"/>
  <c r="G95" i="39"/>
  <c r="D93" i="39"/>
  <c r="J93" i="39"/>
  <c r="I93" i="39"/>
  <c r="C92" i="39"/>
  <c r="J92" i="39"/>
  <c r="J91" i="39"/>
  <c r="K91" i="39"/>
  <c r="D91" i="39"/>
  <c r="K90" i="39"/>
  <c r="J90" i="39"/>
  <c r="I90" i="39"/>
  <c r="D89" i="39"/>
  <c r="J89" i="39"/>
  <c r="I89" i="39"/>
  <c r="I88" i="39"/>
  <c r="K88" i="39"/>
  <c r="J88" i="39"/>
  <c r="D88" i="39"/>
  <c r="C88" i="39"/>
  <c r="J87" i="39"/>
  <c r="D87" i="39"/>
  <c r="K87" i="39"/>
  <c r="K86" i="39"/>
  <c r="D86" i="39"/>
  <c r="C86" i="39"/>
  <c r="I86" i="39"/>
  <c r="D85" i="39"/>
  <c r="J85" i="39"/>
  <c r="I85" i="39"/>
  <c r="C85" i="39"/>
  <c r="D84" i="39"/>
  <c r="C84" i="39"/>
  <c r="J84" i="39"/>
  <c r="J83" i="39"/>
  <c r="K83" i="39"/>
  <c r="D83" i="39"/>
  <c r="J82" i="39"/>
  <c r="I82" i="39"/>
  <c r="D81" i="39"/>
  <c r="J81" i="39"/>
  <c r="I81" i="39"/>
  <c r="I80" i="39"/>
  <c r="K80" i="39"/>
  <c r="J80" i="39"/>
  <c r="D80" i="39"/>
  <c r="C80" i="39"/>
  <c r="G80" i="39" s="1"/>
  <c r="D79" i="39"/>
  <c r="J79" i="39"/>
  <c r="K79" i="39"/>
  <c r="D78" i="39"/>
  <c r="K78" i="39"/>
  <c r="C78" i="39"/>
  <c r="I78" i="39"/>
  <c r="D77" i="39"/>
  <c r="J77" i="39"/>
  <c r="I77" i="39"/>
  <c r="C77" i="39"/>
  <c r="D75" i="39"/>
  <c r="C75" i="39"/>
  <c r="K75" i="39"/>
  <c r="J75" i="39"/>
  <c r="D74" i="39"/>
  <c r="K74" i="39"/>
  <c r="J73" i="39"/>
  <c r="I73" i="39"/>
  <c r="D72" i="39"/>
  <c r="J72" i="39"/>
  <c r="I72" i="39"/>
  <c r="I71" i="39"/>
  <c r="K71" i="39"/>
  <c r="J71" i="39"/>
  <c r="D71" i="39"/>
  <c r="C71" i="39"/>
  <c r="D70" i="39"/>
  <c r="J70" i="39"/>
  <c r="K70" i="39"/>
  <c r="K39" i="39"/>
  <c r="J39" i="39"/>
  <c r="I39" i="39"/>
  <c r="D38" i="39"/>
  <c r="K38" i="39"/>
  <c r="J38" i="39"/>
  <c r="I38" i="39"/>
  <c r="I37" i="39"/>
  <c r="K37" i="39"/>
  <c r="J37" i="39"/>
  <c r="D37" i="39"/>
  <c r="C37" i="39"/>
  <c r="J36" i="39"/>
  <c r="D36" i="39"/>
  <c r="K36" i="39"/>
  <c r="K35" i="39"/>
  <c r="D35" i="39"/>
  <c r="C35" i="39"/>
  <c r="I35" i="39"/>
  <c r="D34" i="39"/>
  <c r="J34" i="39"/>
  <c r="I34" i="39"/>
  <c r="C34" i="39"/>
  <c r="I33" i="39"/>
  <c r="C33" i="39"/>
  <c r="J33" i="39"/>
  <c r="J32" i="39"/>
  <c r="K32" i="39"/>
  <c r="K31" i="39"/>
  <c r="J31" i="39"/>
  <c r="I31" i="39"/>
  <c r="D30" i="39"/>
  <c r="K30" i="39"/>
  <c r="J30" i="39"/>
  <c r="I30" i="39"/>
  <c r="I29" i="39"/>
  <c r="K29" i="39"/>
  <c r="J29" i="39"/>
  <c r="D29" i="39"/>
  <c r="C29" i="39"/>
  <c r="J28" i="39"/>
  <c r="D28" i="39"/>
  <c r="K28" i="39"/>
  <c r="K26" i="39"/>
  <c r="D26" i="39"/>
  <c r="C26" i="39"/>
  <c r="I26" i="39"/>
  <c r="D25" i="39"/>
  <c r="J25" i="39"/>
  <c r="J105" i="39" s="1"/>
  <c r="I25" i="39"/>
  <c r="I24" i="39"/>
  <c r="J24" i="39"/>
  <c r="K24" i="39"/>
  <c r="C24" i="39"/>
  <c r="J23" i="39"/>
  <c r="D23" i="39"/>
  <c r="K23" i="39"/>
  <c r="C23" i="39"/>
  <c r="D22" i="39"/>
  <c r="C22" i="39"/>
  <c r="K22" i="39"/>
  <c r="I22" i="39"/>
  <c r="C21" i="39"/>
  <c r="I21" i="39"/>
  <c r="K20" i="39"/>
  <c r="C20" i="39"/>
  <c r="I20" i="39"/>
  <c r="D20" i="39"/>
  <c r="J19" i="39"/>
  <c r="K19" i="39"/>
  <c r="I19" i="39"/>
  <c r="D19" i="39"/>
  <c r="D18" i="39"/>
  <c r="C18" i="39"/>
  <c r="K18" i="39"/>
  <c r="J17" i="39"/>
  <c r="S175" i="38"/>
  <c r="R175" i="38"/>
  <c r="E52" i="5" s="1"/>
  <c r="Q175" i="38"/>
  <c r="E49" i="5" s="1"/>
  <c r="E51" i="5" s="1"/>
  <c r="O175" i="38"/>
  <c r="N175" i="38"/>
  <c r="G52" i="5" s="1"/>
  <c r="M175" i="38"/>
  <c r="F175" i="38"/>
  <c r="E175" i="38"/>
  <c r="K173" i="38"/>
  <c r="J173" i="38"/>
  <c r="I173" i="38"/>
  <c r="D173" i="38"/>
  <c r="C173" i="38"/>
  <c r="G173" i="38" s="1"/>
  <c r="K172" i="38"/>
  <c r="J172" i="38"/>
  <c r="I172" i="38"/>
  <c r="D172" i="38"/>
  <c r="D175" i="38" s="1"/>
  <c r="C172" i="38"/>
  <c r="K158" i="38"/>
  <c r="J158" i="38"/>
  <c r="I158" i="38"/>
  <c r="D158" i="38"/>
  <c r="C158" i="38"/>
  <c r="F155" i="38"/>
  <c r="F161" i="38" s="1"/>
  <c r="K152" i="38"/>
  <c r="J152" i="38"/>
  <c r="J151" i="38"/>
  <c r="I151" i="38"/>
  <c r="K147" i="38"/>
  <c r="J147" i="38"/>
  <c r="K146" i="38"/>
  <c r="I145" i="38"/>
  <c r="J145" i="38"/>
  <c r="K144" i="38"/>
  <c r="J144" i="38"/>
  <c r="C144" i="38"/>
  <c r="D140" i="38"/>
  <c r="K140" i="38"/>
  <c r="J140" i="38"/>
  <c r="K139" i="38"/>
  <c r="J139" i="38"/>
  <c r="I139" i="38"/>
  <c r="D138" i="38"/>
  <c r="K138" i="38"/>
  <c r="I137" i="38"/>
  <c r="J137" i="38"/>
  <c r="J136" i="38"/>
  <c r="K136" i="38"/>
  <c r="D136" i="38"/>
  <c r="C136" i="38"/>
  <c r="D135" i="38"/>
  <c r="K135" i="38"/>
  <c r="I134" i="38"/>
  <c r="D133" i="38"/>
  <c r="I133" i="38"/>
  <c r="K132" i="38"/>
  <c r="J132" i="38"/>
  <c r="D132" i="38"/>
  <c r="K131" i="38"/>
  <c r="K130" i="38"/>
  <c r="I130" i="38"/>
  <c r="D127" i="38"/>
  <c r="C127" i="38"/>
  <c r="J127" i="38"/>
  <c r="K126" i="38"/>
  <c r="J126" i="38"/>
  <c r="I126" i="38"/>
  <c r="D126" i="38"/>
  <c r="J125" i="38"/>
  <c r="I125" i="38"/>
  <c r="C125" i="38"/>
  <c r="C124" i="38"/>
  <c r="J124" i="38"/>
  <c r="C123" i="38"/>
  <c r="J123" i="38"/>
  <c r="D123" i="38"/>
  <c r="K122" i="38"/>
  <c r="J122" i="38"/>
  <c r="J121" i="38"/>
  <c r="I121" i="38"/>
  <c r="J120" i="38"/>
  <c r="K120" i="38"/>
  <c r="C120" i="38"/>
  <c r="J119" i="38"/>
  <c r="I119" i="38"/>
  <c r="K119" i="38"/>
  <c r="D119" i="38"/>
  <c r="C119" i="38"/>
  <c r="D118" i="38"/>
  <c r="C118" i="38"/>
  <c r="K118" i="38"/>
  <c r="I117" i="38"/>
  <c r="K116" i="38"/>
  <c r="J116" i="38"/>
  <c r="I116" i="38"/>
  <c r="D116" i="38"/>
  <c r="J115" i="38"/>
  <c r="K115" i="38"/>
  <c r="D115" i="38"/>
  <c r="D114" i="38"/>
  <c r="J114" i="38"/>
  <c r="K114" i="38"/>
  <c r="D113" i="38"/>
  <c r="K113" i="38"/>
  <c r="K112" i="38"/>
  <c r="I112" i="38"/>
  <c r="D111" i="38"/>
  <c r="J111" i="38"/>
  <c r="C110" i="38"/>
  <c r="J110" i="38"/>
  <c r="I110" i="38"/>
  <c r="D109" i="38"/>
  <c r="J109" i="38"/>
  <c r="K108" i="38"/>
  <c r="D108" i="38"/>
  <c r="D107" i="38"/>
  <c r="I107" i="38"/>
  <c r="C107" i="38"/>
  <c r="C106" i="38"/>
  <c r="K106" i="38"/>
  <c r="J106" i="38"/>
  <c r="D105" i="38"/>
  <c r="K105" i="38"/>
  <c r="J105" i="38"/>
  <c r="C105" i="38"/>
  <c r="K104" i="38"/>
  <c r="D104" i="38"/>
  <c r="J104" i="38"/>
  <c r="I104" i="38"/>
  <c r="I103" i="38"/>
  <c r="D102" i="38"/>
  <c r="K102" i="38"/>
  <c r="J102" i="38"/>
  <c r="I102" i="38"/>
  <c r="D101" i="38"/>
  <c r="J101" i="38"/>
  <c r="K100" i="38"/>
  <c r="D100" i="38"/>
  <c r="D99" i="38"/>
  <c r="I99" i="38"/>
  <c r="K98" i="38"/>
  <c r="J98" i="38"/>
  <c r="C98" i="38"/>
  <c r="D97" i="38"/>
  <c r="C97" i="38"/>
  <c r="K97" i="38"/>
  <c r="J97" i="38"/>
  <c r="K96" i="38"/>
  <c r="J96" i="38"/>
  <c r="I96" i="38"/>
  <c r="I92" i="38"/>
  <c r="J92" i="38"/>
  <c r="K92" i="38"/>
  <c r="C92" i="38"/>
  <c r="J91" i="38"/>
  <c r="I91" i="38"/>
  <c r="K91" i="38"/>
  <c r="D91" i="38"/>
  <c r="C91" i="38"/>
  <c r="D90" i="38"/>
  <c r="C90" i="38"/>
  <c r="K90" i="38"/>
  <c r="I90" i="38"/>
  <c r="K89" i="38"/>
  <c r="I89" i="38"/>
  <c r="K88" i="38"/>
  <c r="I88" i="38"/>
  <c r="D88" i="38"/>
  <c r="J87" i="38"/>
  <c r="K87" i="38"/>
  <c r="D86" i="38"/>
  <c r="K86" i="38"/>
  <c r="D85" i="38"/>
  <c r="J85" i="38"/>
  <c r="I85" i="38"/>
  <c r="C84" i="38"/>
  <c r="I84" i="38"/>
  <c r="D83" i="38"/>
  <c r="J83" i="38"/>
  <c r="K82" i="38"/>
  <c r="J82" i="38"/>
  <c r="D82" i="38"/>
  <c r="D81" i="38"/>
  <c r="I81" i="38"/>
  <c r="J81" i="38"/>
  <c r="C81" i="38"/>
  <c r="J80" i="38"/>
  <c r="D80" i="38"/>
  <c r="K80" i="38"/>
  <c r="D79" i="38"/>
  <c r="C79" i="38"/>
  <c r="K79" i="38"/>
  <c r="I78" i="38"/>
  <c r="I77" i="38"/>
  <c r="D65" i="38"/>
  <c r="J65" i="38"/>
  <c r="K62" i="38"/>
  <c r="D62" i="38"/>
  <c r="D61" i="38"/>
  <c r="I61" i="38"/>
  <c r="K60" i="38"/>
  <c r="J60" i="38"/>
  <c r="C60" i="38"/>
  <c r="D59" i="38"/>
  <c r="K59" i="38"/>
  <c r="J59" i="38"/>
  <c r="C59" i="38"/>
  <c r="J57" i="38"/>
  <c r="K57" i="38"/>
  <c r="D57"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c r="D88" i="41"/>
  <c r="B91" i="41"/>
  <c r="B92" i="41"/>
  <c r="B93" i="41"/>
  <c r="C94" i="41"/>
  <c r="D94" i="41"/>
  <c r="B97" i="41"/>
  <c r="B98" i="41"/>
  <c r="B99" i="41"/>
  <c r="C100" i="41"/>
  <c r="C101" i="41"/>
  <c r="D100" i="41"/>
  <c r="G20" i="41"/>
  <c r="G1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9" i="30"/>
  <c r="I58" i="30"/>
  <c r="I55" i="30"/>
  <c r="I54" i="30"/>
  <c r="I53" i="30"/>
  <c r="I48" i="30"/>
  <c r="I47" i="30"/>
  <c r="I46" i="30"/>
  <c r="I45" i="30"/>
  <c r="I44" i="30"/>
  <c r="I43" i="30"/>
  <c r="I42" i="30"/>
  <c r="I41" i="30"/>
  <c r="B21" i="7"/>
  <c r="K27" i="8"/>
  <c r="K31" i="8" s="1"/>
  <c r="G15" i="2" s="1"/>
  <c r="L15" i="2" s="1"/>
  <c r="I27" i="8"/>
  <c r="I31" i="8" s="1"/>
  <c r="B11" i="7"/>
  <c r="E69" i="30"/>
  <c r="E27" i="11" s="1"/>
  <c r="I27" i="11"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3" i="30"/>
  <c r="E40" i="11" s="1"/>
  <c r="M40" i="11" s="1"/>
  <c r="E106" i="30"/>
  <c r="E38" i="11"/>
  <c r="K38" i="11" s="1"/>
  <c r="E89" i="30"/>
  <c r="E36" i="11" s="1"/>
  <c r="K36" i="11" s="1"/>
  <c r="E81" i="30"/>
  <c r="E34" i="11" s="1"/>
  <c r="M34" i="11" s="1"/>
  <c r="E71" i="30"/>
  <c r="E28" i="11" s="1"/>
  <c r="I28" i="11" s="1"/>
  <c r="E56" i="30"/>
  <c r="E23" i="11" s="1"/>
  <c r="G23" i="11"/>
  <c r="E67" i="9"/>
  <c r="D61" i="9"/>
  <c r="D21" i="9"/>
  <c r="G148" i="2"/>
  <c r="G149" i="2" s="1"/>
  <c r="K43" i="6"/>
  <c r="E43" i="6" s="1"/>
  <c r="K50" i="6"/>
  <c r="E50" i="6"/>
  <c r="D295" i="2"/>
  <c r="L26" i="20"/>
  <c r="A4" i="21"/>
  <c r="A4" i="30"/>
  <c r="A4" i="11"/>
  <c r="A4" i="10"/>
  <c r="A4" i="9"/>
  <c r="A4" i="8"/>
  <c r="A4" i="7"/>
  <c r="A4" i="6"/>
  <c r="A4" i="5"/>
  <c r="F7" i="2"/>
  <c r="F56" i="2" s="1"/>
  <c r="F130" i="2" s="1"/>
  <c r="F218" i="2" s="1"/>
  <c r="F264" i="2" s="1"/>
  <c r="F16" i="13"/>
  <c r="F18" i="13" s="1"/>
  <c r="E23" i="13" s="1"/>
  <c r="F16" i="20"/>
  <c r="F18" i="20" s="1"/>
  <c r="E23" i="20" s="1"/>
  <c r="L18" i="2"/>
  <c r="B13" i="2"/>
  <c r="J90" i="6"/>
  <c r="J30" i="6" s="1"/>
  <c r="K58" i="6"/>
  <c r="E58" i="6" s="1"/>
  <c r="D60" i="6"/>
  <c r="D29" i="6" s="1"/>
  <c r="K55" i="6"/>
  <c r="E55" i="6" s="1"/>
  <c r="O8" i="20"/>
  <c r="E38" i="9"/>
  <c r="E37" i="9"/>
  <c r="E50" i="30"/>
  <c r="E22" i="11" s="1"/>
  <c r="G22" i="11" s="1"/>
  <c r="E15" i="30"/>
  <c r="E77" i="30"/>
  <c r="E31" i="11" s="1"/>
  <c r="M31" i="11" s="1"/>
  <c r="L234" i="2"/>
  <c r="L236" i="2"/>
  <c r="L237" i="2"/>
  <c r="L238" i="2"/>
  <c r="F239" i="2"/>
  <c r="G239" i="2"/>
  <c r="K49" i="6"/>
  <c r="E49" i="6" s="1"/>
  <c r="K41" i="6"/>
  <c r="E41" i="6" s="1"/>
  <c r="K44" i="6"/>
  <c r="E44" i="6" s="1"/>
  <c r="C21" i="7"/>
  <c r="C23" i="7" s="1"/>
  <c r="G123" i="2" s="1"/>
  <c r="L123" i="2" s="1"/>
  <c r="E67" i="30"/>
  <c r="E26" i="11" s="1"/>
  <c r="I26" i="11" s="1"/>
  <c r="E39" i="30"/>
  <c r="E21" i="11" s="1"/>
  <c r="G21" i="11" s="1"/>
  <c r="E109" i="30"/>
  <c r="E39" i="11" s="1"/>
  <c r="M39" i="11" s="1"/>
  <c r="E116" i="30"/>
  <c r="E41" i="11" s="1"/>
  <c r="M41" i="11" s="1"/>
  <c r="E85" i="30"/>
  <c r="E35" i="11" s="1"/>
  <c r="K35" i="11" s="1"/>
  <c r="E99" i="30"/>
  <c r="E37" i="11" s="1"/>
  <c r="K37" i="11" s="1"/>
  <c r="G162" i="2"/>
  <c r="F71" i="9"/>
  <c r="G163" i="2" s="1"/>
  <c r="L163" i="2" s="1"/>
  <c r="O17" i="21"/>
  <c r="O22" i="21"/>
  <c r="O27" i="21"/>
  <c r="I17" i="6"/>
  <c r="G114" i="2" s="1"/>
  <c r="I19" i="6"/>
  <c r="G115" i="2" s="1"/>
  <c r="I21" i="6"/>
  <c r="G116" i="2" s="1"/>
  <c r="D71" i="9"/>
  <c r="A24" i="9"/>
  <c r="A25" i="9" s="1"/>
  <c r="A26" i="9" s="1"/>
  <c r="A27" i="9" s="1"/>
  <c r="A28" i="9" s="1"/>
  <c r="A29" i="9" s="1"/>
  <c r="A30" i="9" s="1"/>
  <c r="A31" i="9" s="1"/>
  <c r="A32" i="9" s="1"/>
  <c r="A33" i="9" s="1"/>
  <c r="A15" i="7"/>
  <c r="A17" i="7" s="1"/>
  <c r="A18" i="7" s="1"/>
  <c r="A19" i="7" s="1"/>
  <c r="A21" i="7"/>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K48" i="6"/>
  <c r="E48" i="6" s="1"/>
  <c r="K40" i="6"/>
  <c r="E40" i="6" s="1"/>
  <c r="E65" i="9"/>
  <c r="E64" i="9"/>
  <c r="D41" i="9"/>
  <c r="K47" i="6"/>
  <c r="E47" i="6" s="1"/>
  <c r="A15" i="30"/>
  <c r="A25" i="30"/>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D30" i="6"/>
  <c r="I50" i="5"/>
  <c r="J29" i="8"/>
  <c r="A4" i="13"/>
  <c r="A4" i="20"/>
  <c r="C60" i="13"/>
  <c r="L173" i="2"/>
  <c r="G160" i="2"/>
  <c r="K33" i="21"/>
  <c r="A22" i="21"/>
  <c r="A27" i="21" s="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66" i="9"/>
  <c r="A3" i="6"/>
  <c r="A15" i="8"/>
  <c r="A17" i="8" s="1"/>
  <c r="A19" i="8" s="1"/>
  <c r="A21" i="8" s="1"/>
  <c r="A27" i="8"/>
  <c r="A29" i="8" s="1"/>
  <c r="A31" i="8" s="1"/>
  <c r="A39" i="8" s="1"/>
  <c r="E12" i="6"/>
  <c r="C29" i="6"/>
  <c r="D36" i="6"/>
  <c r="B34" i="6"/>
  <c r="E10" i="5"/>
  <c r="A17" i="5"/>
  <c r="A18" i="5" s="1"/>
  <c r="A19" i="5" s="1"/>
  <c r="F54" i="2"/>
  <c r="F128" i="2" s="1"/>
  <c r="F216" i="2" s="1"/>
  <c r="F262" i="2" s="1"/>
  <c r="F55" i="2"/>
  <c r="F129" i="2" s="1"/>
  <c r="F217" i="2" s="1"/>
  <c r="F263" i="2" s="1"/>
  <c r="F58" i="2"/>
  <c r="F132" i="2" s="1"/>
  <c r="F220" i="2" s="1"/>
  <c r="F266" i="2" s="1"/>
  <c r="B64" i="2"/>
  <c r="B138" i="2" s="1"/>
  <c r="B65" i="2"/>
  <c r="B139" i="2" s="1"/>
  <c r="D78" i="2"/>
  <c r="D90" i="2" s="1"/>
  <c r="D80" i="2"/>
  <c r="D91" i="2"/>
  <c r="D82" i="2"/>
  <c r="D92" i="2" s="1"/>
  <c r="D84" i="2"/>
  <c r="D93" i="2" s="1"/>
  <c r="D86" i="2"/>
  <c r="D94" i="2" s="1"/>
  <c r="E136" i="2"/>
  <c r="L136" i="2"/>
  <c r="E137" i="2"/>
  <c r="G137" i="2"/>
  <c r="I137" i="2"/>
  <c r="L137" i="2"/>
  <c r="G145" i="2"/>
  <c r="D174" i="2"/>
  <c r="H238" i="2"/>
  <c r="G74" i="2"/>
  <c r="G69" i="2"/>
  <c r="C32" i="39"/>
  <c r="G32" i="39" s="1"/>
  <c r="I32" i="39"/>
  <c r="C25" i="39"/>
  <c r="O104" i="39"/>
  <c r="K21" i="39"/>
  <c r="I23" i="39"/>
  <c r="D24" i="39"/>
  <c r="D32" i="39"/>
  <c r="K33" i="39"/>
  <c r="C74" i="39"/>
  <c r="I74" i="39"/>
  <c r="K81" i="39"/>
  <c r="C81" i="39"/>
  <c r="K82" i="39"/>
  <c r="K89" i="39"/>
  <c r="C89" i="39"/>
  <c r="C17" i="39"/>
  <c r="K17" i="39"/>
  <c r="Q104" i="39"/>
  <c r="J18" i="39"/>
  <c r="J20" i="39"/>
  <c r="J21" i="39"/>
  <c r="K25" i="39"/>
  <c r="J26" i="39"/>
  <c r="C28" i="39"/>
  <c r="I28" i="39"/>
  <c r="K34" i="39"/>
  <c r="J35" i="39"/>
  <c r="C36" i="39"/>
  <c r="I36" i="39"/>
  <c r="J74" i="39"/>
  <c r="K84" i="39"/>
  <c r="K92" i="39"/>
  <c r="I92" i="39"/>
  <c r="D92" i="39"/>
  <c r="C93" i="39"/>
  <c r="D17" i="39"/>
  <c r="I17" i="39"/>
  <c r="R104" i="39"/>
  <c r="I18" i="39"/>
  <c r="C19" i="39"/>
  <c r="D21" i="39"/>
  <c r="J22" i="39"/>
  <c r="C30" i="39"/>
  <c r="C31" i="39"/>
  <c r="D31" i="39"/>
  <c r="D33" i="39"/>
  <c r="C38" i="39"/>
  <c r="C39" i="39"/>
  <c r="D39" i="39"/>
  <c r="K72" i="39"/>
  <c r="C72" i="39"/>
  <c r="K73" i="39"/>
  <c r="C83" i="39"/>
  <c r="I83" i="39"/>
  <c r="C91" i="39"/>
  <c r="I91" i="39"/>
  <c r="N104" i="39"/>
  <c r="S104" i="39"/>
  <c r="C70" i="39"/>
  <c r="I70" i="39"/>
  <c r="I75" i="39"/>
  <c r="K77" i="39"/>
  <c r="J78" i="39"/>
  <c r="C79" i="39"/>
  <c r="I79" i="39"/>
  <c r="I84" i="39"/>
  <c r="K85" i="39"/>
  <c r="J86" i="39"/>
  <c r="C87" i="39"/>
  <c r="I87" i="39"/>
  <c r="K93" i="39"/>
  <c r="C73" i="39"/>
  <c r="D73" i="39"/>
  <c r="C82" i="39"/>
  <c r="D82" i="39"/>
  <c r="C90" i="39"/>
  <c r="D90" i="39"/>
  <c r="C31" i="38"/>
  <c r="C62" i="38"/>
  <c r="I62" i="38"/>
  <c r="C77" i="38"/>
  <c r="J77" i="38"/>
  <c r="K83" i="38"/>
  <c r="C83" i="38"/>
  <c r="C100" i="38"/>
  <c r="I100" i="38"/>
  <c r="C103" i="38"/>
  <c r="J103" i="38"/>
  <c r="I106" i="38"/>
  <c r="D106" i="38"/>
  <c r="K137" i="38"/>
  <c r="D137" i="38"/>
  <c r="C28" i="38"/>
  <c r="J28" i="38"/>
  <c r="C33" i="38"/>
  <c r="C35" i="38"/>
  <c r="K43" i="38"/>
  <c r="I50" i="38"/>
  <c r="J52" i="38"/>
  <c r="C53" i="38"/>
  <c r="I53" i="38"/>
  <c r="I59" i="38"/>
  <c r="K78" i="38"/>
  <c r="K84" i="38"/>
  <c r="C86" i="38"/>
  <c r="I86" i="38"/>
  <c r="J100" i="38"/>
  <c r="K103" i="38"/>
  <c r="D120" i="38"/>
  <c r="I120" i="38"/>
  <c r="K124" i="38"/>
  <c r="C130" i="38"/>
  <c r="I144" i="38"/>
  <c r="D144" i="38"/>
  <c r="G144" i="38" s="1"/>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G56" i="38" s="1"/>
  <c r="I60" i="38"/>
  <c r="D60" i="38"/>
  <c r="C61" i="38"/>
  <c r="K65" i="38"/>
  <c r="C65" i="38"/>
  <c r="G65" i="38" s="1"/>
  <c r="I79" i="38"/>
  <c r="C80" i="38"/>
  <c r="C82" i="38"/>
  <c r="I82" i="38"/>
  <c r="J84" i="38"/>
  <c r="D84" i="38"/>
  <c r="K85" i="38"/>
  <c r="C85" i="38"/>
  <c r="C88" i="38"/>
  <c r="J88" i="38"/>
  <c r="C89" i="38"/>
  <c r="J89" i="38"/>
  <c r="D92" i="38"/>
  <c r="I98" i="38"/>
  <c r="D98" i="38"/>
  <c r="C99" i="38"/>
  <c r="K101" i="38"/>
  <c r="C101" i="38"/>
  <c r="C102" i="38"/>
  <c r="C108" i="38"/>
  <c r="I108" i="38"/>
  <c r="C112" i="38"/>
  <c r="J112" i="38"/>
  <c r="C135" i="38"/>
  <c r="I135" i="38"/>
  <c r="C137" i="38"/>
  <c r="K151" i="38"/>
  <c r="C78" i="38"/>
  <c r="J78" i="38"/>
  <c r="K109" i="38"/>
  <c r="C109" i="38"/>
  <c r="I113" i="38"/>
  <c r="C113" i="38"/>
  <c r="K121" i="38"/>
  <c r="C121" i="38"/>
  <c r="G121" i="38" s="1"/>
  <c r="C133" i="38"/>
  <c r="J133" i="38"/>
  <c r="C134" i="38"/>
  <c r="J134" i="38"/>
  <c r="C34" i="38"/>
  <c r="J35" i="38"/>
  <c r="C37" i="38"/>
  <c r="I37" i="38"/>
  <c r="I42" i="38"/>
  <c r="J44" i="38"/>
  <c r="C45" i="38"/>
  <c r="I45" i="38"/>
  <c r="K51" i="38"/>
  <c r="J62" i="38"/>
  <c r="D77" i="38"/>
  <c r="I80" i="38"/>
  <c r="I87" i="38"/>
  <c r="C87" i="38"/>
  <c r="I124" i="38"/>
  <c r="D124" i="38"/>
  <c r="G124" i="38" s="1"/>
  <c r="C138" i="38"/>
  <c r="I138" i="38"/>
  <c r="C32" i="38"/>
  <c r="C41" i="38"/>
  <c r="I41" i="38"/>
  <c r="I44" i="38"/>
  <c r="C49" i="38"/>
  <c r="I49" i="38"/>
  <c r="I52" i="38"/>
  <c r="C57" i="38"/>
  <c r="I57" i="38"/>
  <c r="J61" i="38"/>
  <c r="D87" i="38"/>
  <c r="D96" i="38"/>
  <c r="J99" i="38"/>
  <c r="K111" i="38"/>
  <c r="C111" i="38"/>
  <c r="J113" i="38"/>
  <c r="I118" i="38"/>
  <c r="C131" i="38"/>
  <c r="I131" i="38"/>
  <c r="J86" i="38"/>
  <c r="I97" i="38"/>
  <c r="I105" i="38"/>
  <c r="I115" i="38"/>
  <c r="C115" i="38"/>
  <c r="C117" i="38"/>
  <c r="J117" i="38"/>
  <c r="D122" i="38"/>
  <c r="I122" i="38"/>
  <c r="K134" i="38"/>
  <c r="I140" i="38"/>
  <c r="I146" i="38"/>
  <c r="K61" i="38"/>
  <c r="I65" i="38"/>
  <c r="K77" i="38"/>
  <c r="D78" i="38"/>
  <c r="J79" i="38"/>
  <c r="K81" i="38"/>
  <c r="I83" i="38"/>
  <c r="D89" i="38"/>
  <c r="J90" i="38"/>
  <c r="C96" i="38"/>
  <c r="K99" i="38"/>
  <c r="I101" i="38"/>
  <c r="D103" i="38"/>
  <c r="C104" i="38"/>
  <c r="K107" i="38"/>
  <c r="I109" i="38"/>
  <c r="K110" i="38"/>
  <c r="D112" i="38"/>
  <c r="G112" i="38" s="1"/>
  <c r="K117" i="38"/>
  <c r="K123" i="38"/>
  <c r="D125" i="38"/>
  <c r="C126" i="38"/>
  <c r="K127" i="38"/>
  <c r="D130" i="38"/>
  <c r="J130" i="38"/>
  <c r="D131" i="38"/>
  <c r="C140" i="38"/>
  <c r="J146" i="38"/>
  <c r="I152" i="38"/>
  <c r="D110" i="38"/>
  <c r="C114" i="38"/>
  <c r="I114" i="38"/>
  <c r="C116" i="38"/>
  <c r="D121" i="38"/>
  <c r="I123" i="38"/>
  <c r="J131" i="38"/>
  <c r="I132" i="38"/>
  <c r="C132" i="38"/>
  <c r="K133" i="38"/>
  <c r="I136" i="38"/>
  <c r="J138" i="38"/>
  <c r="D139" i="38"/>
  <c r="I111" i="38"/>
  <c r="D117" i="38"/>
  <c r="J118" i="38"/>
  <c r="C122" i="38"/>
  <c r="K125" i="38"/>
  <c r="I127" i="38"/>
  <c r="D134" i="38"/>
  <c r="J135" i="38"/>
  <c r="C139" i="38"/>
  <c r="K145" i="38"/>
  <c r="I147" i="38"/>
  <c r="G177" i="2"/>
  <c r="L172" i="2"/>
  <c r="E27" i="30"/>
  <c r="F119" i="30"/>
  <c r="D95" i="41"/>
  <c r="I57" i="30"/>
  <c r="I56" i="30" s="1"/>
  <c r="I51" i="30"/>
  <c r="F72" i="38"/>
  <c r="E104" i="39"/>
  <c r="K46" i="6"/>
  <c r="E46" i="6" s="1"/>
  <c r="B15" i="2"/>
  <c r="F23" i="50"/>
  <c r="I54" i="50"/>
  <c r="F24" i="49"/>
  <c r="F25" i="49" s="1"/>
  <c r="I54" i="47"/>
  <c r="G90" i="6"/>
  <c r="G30" i="6" s="1"/>
  <c r="G31" i="6" s="1"/>
  <c r="G119" i="2" s="1"/>
  <c r="L119" i="2" s="1"/>
  <c r="G48" i="20"/>
  <c r="F24" i="50"/>
  <c r="F25" i="50" s="1"/>
  <c r="C310" i="20"/>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578" i="20"/>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756" i="20"/>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557" i="20"/>
  <c r="C1558" i="20" s="1"/>
  <c r="C1559" i="20" s="1"/>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83" i="20"/>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735" i="20"/>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826" i="20"/>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914" i="20"/>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D1795" i="20"/>
  <c r="C2003" i="20"/>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K54" i="6"/>
  <c r="E54" i="6" s="1"/>
  <c r="A27" i="30"/>
  <c r="A39" i="30" s="1"/>
  <c r="A50" i="30" s="1"/>
  <c r="A57" i="30" s="1"/>
  <c r="A66" i="30" s="1"/>
  <c r="A67" i="30" s="1"/>
  <c r="A69" i="30" s="1"/>
  <c r="A71" i="30" s="1"/>
  <c r="A77" i="30" s="1"/>
  <c r="A78" i="30" s="1"/>
  <c r="A80" i="30" s="1"/>
  <c r="A81" i="30" s="1"/>
  <c r="A85" i="30" s="1"/>
  <c r="A89" i="30" s="1"/>
  <c r="A99" i="30" s="1"/>
  <c r="A106" i="30" s="1"/>
  <c r="A109" i="30" s="1"/>
  <c r="A113" i="30" s="1"/>
  <c r="A116" i="30" s="1"/>
  <c r="A119" i="30" s="1"/>
  <c r="A29" i="35"/>
  <c r="A30" i="35" s="1"/>
  <c r="A31" i="35" s="1"/>
  <c r="A32" i="35" s="1"/>
  <c r="A33" i="35" s="1"/>
  <c r="A34" i="35" s="1"/>
  <c r="A35" i="35" s="1"/>
  <c r="A36" i="35" s="1"/>
  <c r="A37" i="35" s="1"/>
  <c r="A38" i="35" s="1"/>
  <c r="A39" i="35" s="1"/>
  <c r="A40" i="35" s="1"/>
  <c r="A41" i="35" s="1"/>
  <c r="A42" i="35" s="1"/>
  <c r="E106" i="2"/>
  <c r="I54" i="49"/>
  <c r="H21" i="47"/>
  <c r="K21" i="47" s="1"/>
  <c r="D22" i="47"/>
  <c r="D23" i="47" s="1"/>
  <c r="D24" i="47" s="1"/>
  <c r="D25" i="47" s="1"/>
  <c r="D26" i="47" s="1"/>
  <c r="D27" i="47" s="1"/>
  <c r="D28" i="47" s="1"/>
  <c r="E74" i="2"/>
  <c r="E251" i="2"/>
  <c r="I23" i="35"/>
  <c r="G72" i="2" s="1"/>
  <c r="D29" i="47"/>
  <c r="D30" i="47" s="1"/>
  <c r="D31" i="47" s="1"/>
  <c r="D32" i="47" s="1"/>
  <c r="I28" i="30"/>
  <c r="J964" i="13"/>
  <c r="E967" i="13" s="1"/>
  <c r="F967" i="13" s="1"/>
  <c r="G967" i="13" s="1"/>
  <c r="N1901" i="13"/>
  <c r="M1729" i="13"/>
  <c r="N1557" i="13"/>
  <c r="C1599" i="13"/>
  <c r="C1600" i="13" s="1"/>
  <c r="C1601" i="13" s="1"/>
  <c r="C1602" i="13"/>
  <c r="C1603" i="13" s="1"/>
  <c r="C1604" i="13" s="1"/>
  <c r="C1605" i="13" s="1"/>
  <c r="C1606" i="13" s="1"/>
  <c r="C1607" i="13" s="1"/>
  <c r="C1608" i="13" s="1"/>
  <c r="C1609" i="13" s="1"/>
  <c r="C1610" i="13" s="1"/>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M1557" i="13"/>
  <c r="M1471" i="13"/>
  <c r="C1427" i="13"/>
  <c r="C1428" i="13" s="1"/>
  <c r="C1429" i="13" s="1"/>
  <c r="C1430" i="13" s="1"/>
  <c r="C1431" i="13" s="1"/>
  <c r="C1432" i="13" s="1"/>
  <c r="C1433" i="13" s="1"/>
  <c r="C1434" i="13" s="1"/>
  <c r="C1435" i="13" s="1"/>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N1385" i="13"/>
  <c r="M1385" i="13"/>
  <c r="C1169" i="13"/>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N783" i="13"/>
  <c r="C825" i="13"/>
  <c r="C826" i="13" s="1"/>
  <c r="C827" i="13" s="1"/>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M783" i="13"/>
  <c r="M607" i="13"/>
  <c r="N521" i="13"/>
  <c r="M521" i="13"/>
  <c r="M177" i="13"/>
  <c r="M1913" i="13"/>
  <c r="O1913" i="13"/>
  <c r="M1827" i="13"/>
  <c r="O1827" i="13"/>
  <c r="M1655" i="13"/>
  <c r="O1655" i="13"/>
  <c r="M1398" i="13"/>
  <c r="O1398" i="13"/>
  <c r="M1914" i="13"/>
  <c r="O1914" i="13"/>
  <c r="M1915" i="13"/>
  <c r="O1915" i="13"/>
  <c r="O1658" i="13"/>
  <c r="M1658" i="13"/>
  <c r="O1400" i="13"/>
  <c r="M1400" i="13"/>
  <c r="M1916" i="13"/>
  <c r="O1916" i="13"/>
  <c r="M972" i="13"/>
  <c r="O972" i="13"/>
  <c r="F578" i="13"/>
  <c r="G578" i="13" s="1"/>
  <c r="F579" i="13"/>
  <c r="G579" i="13"/>
  <c r="F580" i="13"/>
  <c r="I40" i="30"/>
  <c r="I39" i="30" s="1"/>
  <c r="K56" i="6"/>
  <c r="E56" i="6" s="1"/>
  <c r="K52" i="6"/>
  <c r="E52" i="6"/>
  <c r="G60" i="6"/>
  <c r="G29" i="6" s="1"/>
  <c r="A162" i="38"/>
  <c r="A164" i="38" s="1"/>
  <c r="A166" i="38" s="1"/>
  <c r="A168" i="38" s="1"/>
  <c r="A170" i="38" s="1"/>
  <c r="A171" i="38" s="1"/>
  <c r="A172" i="38" s="1"/>
  <c r="A173" i="38" s="1"/>
  <c r="A174" i="38" s="1"/>
  <c r="A175" i="38" s="1"/>
  <c r="D52" i="5" s="1"/>
  <c r="E155" i="38"/>
  <c r="E161" i="38" s="1"/>
  <c r="A159" i="38"/>
  <c r="E72" i="38"/>
  <c r="F104" i="39"/>
  <c r="B28" i="48"/>
  <c r="A28" i="48"/>
  <c r="A37" i="48" s="1"/>
  <c r="I37" i="30"/>
  <c r="I90" i="6"/>
  <c r="I30" i="6" s="1"/>
  <c r="E90" i="6"/>
  <c r="E30" i="6" s="1"/>
  <c r="K90" i="6"/>
  <c r="K30" i="6" s="1"/>
  <c r="I52" i="30"/>
  <c r="M349" i="13" l="1"/>
  <c r="C391" i="13"/>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N349" i="13"/>
  <c r="E183" i="2"/>
  <c r="E184" i="2"/>
  <c r="A48" i="11"/>
  <c r="C305" i="13"/>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N263" i="13"/>
  <c r="C1255" i="13"/>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N1213" i="13"/>
  <c r="E146" i="2"/>
  <c r="A36" i="9"/>
  <c r="A37" i="9" s="1"/>
  <c r="A38" i="9" s="1"/>
  <c r="A39" i="9" s="1"/>
  <c r="A40" i="9" s="1"/>
  <c r="A41" i="9" s="1"/>
  <c r="E161" i="2" s="1"/>
  <c r="M90" i="13"/>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N869" i="13"/>
  <c r="C911" i="13"/>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M869" i="13"/>
  <c r="M695" i="13"/>
  <c r="N695" i="13"/>
  <c r="O695" i="13" s="1"/>
  <c r="C737" i="13"/>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A29" i="41"/>
  <c r="A30" i="41" s="1"/>
  <c r="A31" i="41" s="1"/>
  <c r="A32" i="41" s="1"/>
  <c r="A33" i="41" s="1"/>
  <c r="A34" i="41" s="1"/>
  <c r="A35" i="41" s="1"/>
  <c r="A36" i="41" s="1"/>
  <c r="A37" i="41" s="1"/>
  <c r="A38" i="41" s="1"/>
  <c r="A39" i="41" s="1"/>
  <c r="A40" i="41" s="1"/>
  <c r="A41" i="41" s="1"/>
  <c r="A42" i="41" s="1"/>
  <c r="E250" i="2"/>
  <c r="N1041" i="13"/>
  <c r="C1083" i="13"/>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M1041" i="13"/>
  <c r="G82" i="38"/>
  <c r="A3" i="7"/>
  <c r="A3" i="8"/>
  <c r="D101" i="41"/>
  <c r="E101" i="41" s="1"/>
  <c r="E100" i="41"/>
  <c r="D22" i="49"/>
  <c r="H21" i="49"/>
  <c r="K21" i="49" s="1"/>
  <c r="E70" i="2"/>
  <c r="E67" i="2"/>
  <c r="E94" i="41"/>
  <c r="C95" i="41"/>
  <c r="C103" i="41"/>
  <c r="C105" i="41" s="1"/>
  <c r="D89" i="41"/>
  <c r="D104" i="41" s="1"/>
  <c r="D103" i="41"/>
  <c r="D105" i="41" s="1"/>
  <c r="C477" i="13"/>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M435" i="13"/>
  <c r="M1643" i="13"/>
  <c r="E73" i="2"/>
  <c r="N955" i="13"/>
  <c r="C1857" i="13"/>
  <c r="C1858" i="13" s="1"/>
  <c r="C1859" i="13" s="1"/>
  <c r="C1860" i="13" s="1"/>
  <c r="C1861" i="13" s="1"/>
  <c r="C1862" i="13" s="1"/>
  <c r="C1863" i="13" s="1"/>
  <c r="C1864" i="13" s="1"/>
  <c r="C1865" i="13" s="1"/>
  <c r="C1866" i="13" s="1"/>
  <c r="C1867" i="13" s="1"/>
  <c r="C1868" i="13" s="1"/>
  <c r="C1869" i="13" s="1"/>
  <c r="C1870" i="13" s="1"/>
  <c r="C1871" i="13" s="1"/>
  <c r="C1872" i="13" s="1"/>
  <c r="C1873" i="13" s="1"/>
  <c r="C1874" i="13" s="1"/>
  <c r="C1875" i="13" s="1"/>
  <c r="C1876" i="13" s="1"/>
  <c r="C1877" i="13" s="1"/>
  <c r="C1878" i="13" s="1"/>
  <c r="C1879" i="13" s="1"/>
  <c r="C1880" i="13" s="1"/>
  <c r="C1881" i="13" s="1"/>
  <c r="C1882" i="13" s="1"/>
  <c r="C1883" i="13" s="1"/>
  <c r="C1884" i="13" s="1"/>
  <c r="C1885" i="13" s="1"/>
  <c r="C1886" i="13" s="1"/>
  <c r="E249" i="2"/>
  <c r="N177" i="13"/>
  <c r="O177" i="13" s="1"/>
  <c r="C219" i="13"/>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N1299" i="13"/>
  <c r="C1341" i="13"/>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M1299" i="13"/>
  <c r="N1471" i="13"/>
  <c r="C1513" i="13"/>
  <c r="C1514" i="13" s="1"/>
  <c r="C1515" i="13" s="1"/>
  <c r="C1516" i="13" s="1"/>
  <c r="C1517" i="13" s="1"/>
  <c r="C1518" i="13" s="1"/>
  <c r="C1519" i="13" s="1"/>
  <c r="C1520" i="13" s="1"/>
  <c r="C1521" i="13" s="1"/>
  <c r="C1522" i="13" s="1"/>
  <c r="C1523" i="13" s="1"/>
  <c r="C1524" i="13" s="1"/>
  <c r="C1525" i="13" s="1"/>
  <c r="C1526" i="13" s="1"/>
  <c r="C1527" i="13" s="1"/>
  <c r="C1528" i="13" s="1"/>
  <c r="C1529" i="13" s="1"/>
  <c r="C1530" i="13" s="1"/>
  <c r="C1531" i="13" s="1"/>
  <c r="C1532" i="13" s="1"/>
  <c r="C1533" i="13" s="1"/>
  <c r="C1534" i="13" s="1"/>
  <c r="C1535" i="13" s="1"/>
  <c r="C1536" i="13" s="1"/>
  <c r="C1537" i="13" s="1"/>
  <c r="C1538" i="13" s="1"/>
  <c r="C1539" i="13" s="1"/>
  <c r="C1540" i="13" s="1"/>
  <c r="C1541" i="13" s="1"/>
  <c r="C1542" i="13" s="1"/>
  <c r="N1729" i="13"/>
  <c r="O1729" i="13" s="1"/>
  <c r="C1771" i="13"/>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C997" i="13"/>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M1815" i="13"/>
  <c r="O1815" i="13" s="1"/>
  <c r="E248" i="2"/>
  <c r="B23" i="7"/>
  <c r="A23" i="7"/>
  <c r="N435" i="13"/>
  <c r="O435" i="13" s="1"/>
  <c r="N1643" i="13"/>
  <c r="C1943" i="13"/>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B18" i="2"/>
  <c r="B20" i="2" s="1"/>
  <c r="B27" i="2" s="1"/>
  <c r="B29" i="2" s="1"/>
  <c r="B30" i="2" s="1"/>
  <c r="E88" i="41"/>
  <c r="D22" i="50"/>
  <c r="H21" i="50"/>
  <c r="K21" i="50" s="1"/>
  <c r="N607"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G104" i="38"/>
  <c r="G89" i="39"/>
  <c r="E76" i="41"/>
  <c r="E17" i="5"/>
  <c r="G49" i="5"/>
  <c r="K73" i="38"/>
  <c r="G60" i="38"/>
  <c r="G106" i="38"/>
  <c r="O33" i="21"/>
  <c r="G209" i="2" s="1"/>
  <c r="E119" i="30"/>
  <c r="F80" i="35"/>
  <c r="G108" i="2" s="1"/>
  <c r="L108" i="2" s="1"/>
  <c r="I50" i="30"/>
  <c r="E19" i="5"/>
  <c r="E20" i="5" s="1"/>
  <c r="G115" i="38"/>
  <c r="G113" i="38"/>
  <c r="G17" i="5"/>
  <c r="G81" i="38"/>
  <c r="G131" i="38"/>
  <c r="G120" i="38"/>
  <c r="G19" i="5"/>
  <c r="G150" i="38"/>
  <c r="G20" i="39"/>
  <c r="G49" i="39"/>
  <c r="G39" i="39"/>
  <c r="G21" i="39"/>
  <c r="G58" i="39"/>
  <c r="G99" i="39"/>
  <c r="E71" i="9"/>
  <c r="G147" i="38"/>
  <c r="G145" i="38"/>
  <c r="G125" i="38"/>
  <c r="G138" i="38"/>
  <c r="G127" i="38"/>
  <c r="G133" i="38"/>
  <c r="G96" i="38"/>
  <c r="G91" i="39"/>
  <c r="G37" i="39"/>
  <c r="G71" i="39"/>
  <c r="G61" i="39"/>
  <c r="G47" i="39"/>
  <c r="G43" i="39"/>
  <c r="G36" i="39"/>
  <c r="G28" i="39"/>
  <c r="G152" i="38"/>
  <c r="C175" i="38"/>
  <c r="K175" i="38"/>
  <c r="E41" i="9"/>
  <c r="G82" i="39"/>
  <c r="D105" i="39"/>
  <c r="G92" i="39"/>
  <c r="G88" i="39"/>
  <c r="G62" i="39"/>
  <c r="G52" i="39"/>
  <c r="G48" i="39"/>
  <c r="G44" i="39"/>
  <c r="G40" i="39"/>
  <c r="G51" i="39"/>
  <c r="G50" i="39"/>
  <c r="G42" i="5"/>
  <c r="G79" i="39"/>
  <c r="G45" i="39"/>
  <c r="G37" i="38"/>
  <c r="F88" i="35"/>
  <c r="G110" i="2" s="1"/>
  <c r="G94" i="2"/>
  <c r="D64" i="35"/>
  <c r="L80" i="2" s="1"/>
  <c r="J80" i="2" s="1"/>
  <c r="J81" i="2" s="1"/>
  <c r="L81" i="2" s="1"/>
  <c r="G92" i="2"/>
  <c r="I48" i="11" s="1"/>
  <c r="I51" i="11" s="1"/>
  <c r="I53" i="11" s="1"/>
  <c r="I55" i="11" s="1"/>
  <c r="D34" i="5"/>
  <c r="G122" i="38"/>
  <c r="G139" i="38"/>
  <c r="G158" i="38"/>
  <c r="J73" i="38"/>
  <c r="G41" i="38"/>
  <c r="G86" i="38"/>
  <c r="G159" i="38"/>
  <c r="G17" i="38"/>
  <c r="I175" i="38"/>
  <c r="G105" i="38"/>
  <c r="G108" i="38"/>
  <c r="G98" i="38"/>
  <c r="G48" i="38"/>
  <c r="G21" i="38"/>
  <c r="G118" i="38"/>
  <c r="G45" i="38"/>
  <c r="G44" i="38"/>
  <c r="G52" i="38"/>
  <c r="G34" i="38"/>
  <c r="G40" i="38"/>
  <c r="G33" i="38"/>
  <c r="I34" i="5"/>
  <c r="J27" i="8"/>
  <c r="J31" i="8" s="1"/>
  <c r="E25" i="30"/>
  <c r="E17" i="11"/>
  <c r="H239" i="2"/>
  <c r="G119" i="38"/>
  <c r="G109" i="38"/>
  <c r="G107" i="38"/>
  <c r="G100" i="38"/>
  <c r="G140" i="38"/>
  <c r="G87" i="38"/>
  <c r="G31" i="38"/>
  <c r="G30" i="38"/>
  <c r="G90" i="39"/>
  <c r="G83" i="39"/>
  <c r="G68" i="39"/>
  <c r="G30" i="39"/>
  <c r="G17" i="39"/>
  <c r="G87" i="39"/>
  <c r="I105" i="39"/>
  <c r="G33" i="39"/>
  <c r="E61" i="9"/>
  <c r="J60" i="6"/>
  <c r="J29" i="6" s="1"/>
  <c r="J31" i="6" s="1"/>
  <c r="G117" i="2" s="1"/>
  <c r="K60" i="6"/>
  <c r="K29" i="6" s="1"/>
  <c r="K31" i="6" s="1"/>
  <c r="E60" i="6"/>
  <c r="E29" i="6" s="1"/>
  <c r="E31" i="6" s="1"/>
  <c r="G120" i="2" s="1"/>
  <c r="L120" i="2" s="1"/>
  <c r="D31" i="6"/>
  <c r="I60" i="6"/>
  <c r="I29" i="6" s="1"/>
  <c r="I31" i="6" s="1"/>
  <c r="G118" i="2" s="1"/>
  <c r="F25" i="47"/>
  <c r="H24" i="47"/>
  <c r="K24" i="47" s="1"/>
  <c r="H42" i="41"/>
  <c r="G255" i="2" s="1"/>
  <c r="C105" i="39"/>
  <c r="G18" i="39"/>
  <c r="G26" i="39"/>
  <c r="G72" i="39"/>
  <c r="G78" i="39"/>
  <c r="G86" i="39"/>
  <c r="G93" i="39"/>
  <c r="I42" i="5"/>
  <c r="G73" i="39"/>
  <c r="G24" i="39"/>
  <c r="G23" i="39"/>
  <c r="G85" i="39"/>
  <c r="G46" i="39"/>
  <c r="G96" i="39"/>
  <c r="G102" i="39"/>
  <c r="G172" i="38"/>
  <c r="G175" i="38" s="1"/>
  <c r="J175" i="38"/>
  <c r="G111" i="38"/>
  <c r="G123" i="38"/>
  <c r="G132" i="38"/>
  <c r="G134" i="38"/>
  <c r="G97" i="38"/>
  <c r="G116" i="38"/>
  <c r="G146" i="38"/>
  <c r="G66" i="38"/>
  <c r="G69" i="38"/>
  <c r="G28" i="38"/>
  <c r="K47" i="48"/>
  <c r="K43" i="48"/>
  <c r="C28" i="48"/>
  <c r="D22" i="48" s="1"/>
  <c r="E22" i="48" s="1"/>
  <c r="E22" i="13"/>
  <c r="E22" i="20"/>
  <c r="L252" i="2"/>
  <c r="G257" i="2" s="1"/>
  <c r="G89" i="38"/>
  <c r="G84" i="38"/>
  <c r="G20" i="38"/>
  <c r="G88" i="38"/>
  <c r="G80" i="38"/>
  <c r="E23" i="38"/>
  <c r="I73" i="38"/>
  <c r="G43" i="38"/>
  <c r="G59" i="38"/>
  <c r="G91" i="38"/>
  <c r="G110" i="38"/>
  <c r="G102" i="38"/>
  <c r="G135" i="38"/>
  <c r="G137" i="38"/>
  <c r="G32" i="38"/>
  <c r="G54" i="38"/>
  <c r="G85" i="38"/>
  <c r="G90" i="38"/>
  <c r="G114" i="38"/>
  <c r="G103" i="38"/>
  <c r="G78" i="38"/>
  <c r="G92" i="38"/>
  <c r="G99" i="38"/>
  <c r="I155" i="38"/>
  <c r="I161" i="38" s="1"/>
  <c r="G83" i="38"/>
  <c r="G51" i="38"/>
  <c r="G79" i="38"/>
  <c r="G101" i="38"/>
  <c r="G53" i="38"/>
  <c r="G77" i="38"/>
  <c r="K155" i="38"/>
  <c r="K161" i="38" s="1"/>
  <c r="G130" i="38"/>
  <c r="D155" i="38"/>
  <c r="D161" i="38" s="1"/>
  <c r="J155" i="38"/>
  <c r="J161" i="38" s="1"/>
  <c r="G50" i="38"/>
  <c r="G19" i="38"/>
  <c r="G42" i="38"/>
  <c r="D73" i="38"/>
  <c r="I52" i="5"/>
  <c r="L103" i="2" s="1"/>
  <c r="G61" i="38"/>
  <c r="C73" i="38"/>
  <c r="K72" i="38"/>
  <c r="I72" i="38"/>
  <c r="G38" i="38"/>
  <c r="G39" i="38"/>
  <c r="E26" i="5"/>
  <c r="G29" i="38"/>
  <c r="J72" i="38"/>
  <c r="G55" i="38"/>
  <c r="G62" i="38"/>
  <c r="C72" i="38"/>
  <c r="G46" i="38"/>
  <c r="I18" i="5"/>
  <c r="F23" i="38"/>
  <c r="G35" i="38"/>
  <c r="G57" i="38"/>
  <c r="G84" i="39"/>
  <c r="G22" i="39"/>
  <c r="G29" i="39"/>
  <c r="G66" i="39"/>
  <c r="G63" i="39"/>
  <c r="G74" i="39"/>
  <c r="G77" i="39"/>
  <c r="G60" i="39"/>
  <c r="G54" i="39"/>
  <c r="G25" i="39"/>
  <c r="G70" i="39"/>
  <c r="I104" i="39"/>
  <c r="C104" i="39"/>
  <c r="J104" i="39"/>
  <c r="G35" i="39"/>
  <c r="G65" i="39"/>
  <c r="K105" i="39"/>
  <c r="G75" i="39"/>
  <c r="G69" i="39"/>
  <c r="G64" i="39"/>
  <c r="G42" i="39"/>
  <c r="G34" i="39"/>
  <c r="K104" i="39"/>
  <c r="P1967" i="13"/>
  <c r="P1969" i="13"/>
  <c r="G19" i="39"/>
  <c r="G151" i="38"/>
  <c r="D72" i="38"/>
  <c r="C155" i="38"/>
  <c r="C161" i="38" s="1"/>
  <c r="G136" i="38"/>
  <c r="D104" i="39"/>
  <c r="G81" i="39"/>
  <c r="G67" i="39"/>
  <c r="G59" i="39"/>
  <c r="G55" i="39"/>
  <c r="G53" i="39"/>
  <c r="G38" i="39"/>
  <c r="G41" i="39"/>
  <c r="G31" i="39"/>
  <c r="G57" i="39"/>
  <c r="F34" i="10"/>
  <c r="F340" i="2" s="1"/>
  <c r="G189" i="2" s="1"/>
  <c r="G193" i="2" s="1"/>
  <c r="G200" i="2" s="1"/>
  <c r="P1711" i="13"/>
  <c r="P1838" i="13"/>
  <c r="P1866" i="13"/>
  <c r="P1874" i="13"/>
  <c r="P1878" i="13"/>
  <c r="P1886" i="13"/>
  <c r="P731" i="13"/>
  <c r="P1693" i="13"/>
  <c r="P1836" i="13"/>
  <c r="P1868" i="13"/>
  <c r="P1876" i="13"/>
  <c r="P1884" i="13"/>
  <c r="D581" i="13"/>
  <c r="G580" i="13"/>
  <c r="A39" i="48"/>
  <c r="A48" i="41"/>
  <c r="A49" i="41" s="1"/>
  <c r="M1127" i="13"/>
  <c r="O1127" i="13" s="1"/>
  <c r="M1213" i="13"/>
  <c r="E79" i="2"/>
  <c r="A49" i="35"/>
  <c r="A50" i="35" s="1"/>
  <c r="A51" i="35" s="1"/>
  <c r="A52" i="35" s="1"/>
  <c r="A53" i="35" s="1"/>
  <c r="A54" i="35" s="1"/>
  <c r="A55" i="35" s="1"/>
  <c r="A56" i="35" s="1"/>
  <c r="A57" i="35" s="1"/>
  <c r="A58" i="35" s="1"/>
  <c r="A59" i="35" s="1"/>
  <c r="A60" i="35" s="1"/>
  <c r="A61" i="35" s="1"/>
  <c r="A62" i="35" s="1"/>
  <c r="E85" i="2"/>
  <c r="E78" i="2"/>
  <c r="E82" i="2"/>
  <c r="E84" i="2"/>
  <c r="E83" i="2"/>
  <c r="E81" i="2"/>
  <c r="E86" i="2"/>
  <c r="B31" i="2"/>
  <c r="B33" i="2" s="1"/>
  <c r="B34" i="2" s="1"/>
  <c r="E31" i="2"/>
  <c r="D33" i="2"/>
  <c r="A44" i="9"/>
  <c r="A45" i="9" s="1"/>
  <c r="A46" i="9" s="1"/>
  <c r="A47" i="9" s="1"/>
  <c r="A48" i="9" s="1"/>
  <c r="A49" i="9" s="1"/>
  <c r="A50" i="9" s="1"/>
  <c r="A51" i="9" s="1"/>
  <c r="A52" i="9" s="1"/>
  <c r="A53" i="9" s="1"/>
  <c r="A54" i="9" s="1"/>
  <c r="A55" i="9" s="1"/>
  <c r="A56" i="9" s="1"/>
  <c r="A57" i="9" s="1"/>
  <c r="A58" i="9" s="1"/>
  <c r="A59" i="9" s="1"/>
  <c r="A61" i="9" s="1"/>
  <c r="M263" i="13"/>
  <c r="E80" i="2"/>
  <c r="H23" i="47"/>
  <c r="K23" i="47" s="1"/>
  <c r="G117" i="38"/>
  <c r="H22" i="47"/>
  <c r="E181" i="2"/>
  <c r="E185" i="2"/>
  <c r="E69" i="2"/>
  <c r="E66" i="2"/>
  <c r="E72" i="2"/>
  <c r="E71" i="2"/>
  <c r="E108" i="2"/>
  <c r="A84" i="35"/>
  <c r="F26" i="49"/>
  <c r="F26" i="50"/>
  <c r="A20" i="5"/>
  <c r="A23" i="5" s="1"/>
  <c r="A25" i="5" s="1"/>
  <c r="D20" i="5"/>
  <c r="G49" i="38"/>
  <c r="C47" i="13"/>
  <c r="C47" i="20"/>
  <c r="G35" i="5"/>
  <c r="G33" i="5"/>
  <c r="E35" i="5"/>
  <c r="E33" i="5"/>
  <c r="L92" i="2"/>
  <c r="G47" i="38"/>
  <c r="G23" i="41"/>
  <c r="E41" i="5"/>
  <c r="E43" i="5"/>
  <c r="S17" i="21"/>
  <c r="E61" i="11"/>
  <c r="E63" i="11" s="1"/>
  <c r="E65" i="11" s="1"/>
  <c r="S22" i="21"/>
  <c r="G25" i="5"/>
  <c r="G27" i="5"/>
  <c r="S27" i="21"/>
  <c r="G43" i="5"/>
  <c r="G41" i="5"/>
  <c r="G159" i="2"/>
  <c r="E27" i="5"/>
  <c r="E25" i="5"/>
  <c r="G87" i="2"/>
  <c r="F1705" i="20"/>
  <c r="D1706" i="20" s="1"/>
  <c r="E1706" i="20" s="1"/>
  <c r="F1706" i="20" s="1"/>
  <c r="D1707" i="20" s="1"/>
  <c r="G26" i="5"/>
  <c r="G93" i="2"/>
  <c r="K48" i="11" s="1"/>
  <c r="K51" i="11" s="1"/>
  <c r="K53" i="11" s="1"/>
  <c r="K55" i="11" s="1"/>
  <c r="P737" i="13"/>
  <c r="P669" i="13"/>
  <c r="P909" i="13"/>
  <c r="P1234" i="13"/>
  <c r="P1248" i="13"/>
  <c r="P1256" i="13"/>
  <c r="P1405" i="13"/>
  <c r="L226" i="2"/>
  <c r="G91" i="2"/>
  <c r="G48" i="11" s="1"/>
  <c r="L66" i="2"/>
  <c r="G75" i="2"/>
  <c r="G90" i="2"/>
  <c r="D968" i="13"/>
  <c r="E968" i="13" s="1"/>
  <c r="P1686" i="13"/>
  <c r="K43" i="11"/>
  <c r="G185" i="2" s="1"/>
  <c r="P1699" i="13"/>
  <c r="P1842" i="13"/>
  <c r="P1947" i="13"/>
  <c r="I43" i="11"/>
  <c r="G181" i="2" s="1"/>
  <c r="P1542" i="13"/>
  <c r="P1528" i="13"/>
  <c r="P316" i="13"/>
  <c r="P839" i="13"/>
  <c r="P849" i="13"/>
  <c r="P851" i="13"/>
  <c r="P1000" i="13"/>
  <c r="P1010" i="13"/>
  <c r="P1022" i="13"/>
  <c r="P1146" i="13"/>
  <c r="P1148" i="13"/>
  <c r="P1150" i="13"/>
  <c r="P1152" i="13"/>
  <c r="P1154" i="13"/>
  <c r="P1156" i="13"/>
  <c r="P1158" i="13"/>
  <c r="P1162" i="13"/>
  <c r="P1190" i="13"/>
  <c r="P1524" i="13"/>
  <c r="P1540" i="13"/>
  <c r="P302" i="13"/>
  <c r="P978" i="13"/>
  <c r="P1014" i="13"/>
  <c r="P1018" i="13"/>
  <c r="P1164" i="13"/>
  <c r="P1333" i="13"/>
  <c r="P1494" i="13"/>
  <c r="P1508" i="13"/>
  <c r="P1752" i="13"/>
  <c r="P1754" i="13"/>
  <c r="P1756" i="13"/>
  <c r="P1758" i="13"/>
  <c r="P1760" i="13"/>
  <c r="P1764" i="13"/>
  <c r="P1768" i="13"/>
  <c r="P1770" i="13"/>
  <c r="P1772" i="13"/>
  <c r="P1774" i="13"/>
  <c r="P1776" i="13"/>
  <c r="P1778" i="13"/>
  <c r="P1780" i="13"/>
  <c r="P1782" i="13"/>
  <c r="P1784" i="13"/>
  <c r="P1786" i="13"/>
  <c r="P1788" i="13"/>
  <c r="P1790" i="13"/>
  <c r="P1792" i="13"/>
  <c r="P1794" i="13"/>
  <c r="P1796" i="13"/>
  <c r="P1798" i="13"/>
  <c r="P1800" i="13"/>
  <c r="P1839" i="13"/>
  <c r="P1847" i="13"/>
  <c r="P1849" i="13"/>
  <c r="P1851" i="13"/>
  <c r="P1857" i="13"/>
  <c r="P1861" i="13"/>
  <c r="P1867" i="13"/>
  <c r="P1881" i="13"/>
  <c r="P1922" i="13"/>
  <c r="P1924" i="13"/>
  <c r="P1926" i="13"/>
  <c r="P1928" i="13"/>
  <c r="P1930" i="13"/>
  <c r="P1932" i="13"/>
  <c r="P1934" i="13"/>
  <c r="P1936" i="13"/>
  <c r="P1938" i="13"/>
  <c r="P1942" i="13"/>
  <c r="P1944" i="13"/>
  <c r="P1972" i="13"/>
  <c r="P720" i="13"/>
  <c r="P722" i="13"/>
  <c r="P724" i="13"/>
  <c r="P728" i="13"/>
  <c r="P742" i="13"/>
  <c r="P744" i="13"/>
  <c r="P746" i="13"/>
  <c r="P748" i="13"/>
  <c r="P750" i="13"/>
  <c r="P752" i="13"/>
  <c r="P754" i="13"/>
  <c r="P756" i="13"/>
  <c r="P758" i="13"/>
  <c r="P760" i="13"/>
  <c r="P762" i="13"/>
  <c r="P764" i="13"/>
  <c r="P766" i="13"/>
  <c r="P548" i="13"/>
  <c r="P1749" i="13"/>
  <c r="P375" i="13"/>
  <c r="P1923" i="13"/>
  <c r="E20" i="11"/>
  <c r="G20" i="11" s="1"/>
  <c r="G43" i="11" s="1"/>
  <c r="G183" i="2" s="1"/>
  <c r="P903" i="13"/>
  <c r="P911" i="13"/>
  <c r="P929" i="13"/>
  <c r="P1085" i="13"/>
  <c r="P1091" i="13"/>
  <c r="P1278" i="13"/>
  <c r="P1415" i="13"/>
  <c r="P1417" i="13"/>
  <c r="P1709" i="13"/>
  <c r="P1840" i="13"/>
  <c r="P1844" i="13"/>
  <c r="P1870" i="13"/>
  <c r="P1872" i="13"/>
  <c r="P1880" i="13"/>
  <c r="P1882" i="13"/>
  <c r="P1773" i="13"/>
  <c r="P126" i="13"/>
  <c r="M17" i="11"/>
  <c r="M43" i="11" s="1"/>
  <c r="G184" i="2" s="1"/>
  <c r="P155" i="13"/>
  <c r="P149" i="13"/>
  <c r="P127" i="13"/>
  <c r="P119" i="13"/>
  <c r="P1578" i="13"/>
  <c r="P1582" i="13"/>
  <c r="P1590" i="13"/>
  <c r="P1592" i="13"/>
  <c r="P1594" i="13"/>
  <c r="P1596" i="13"/>
  <c r="P1598" i="13"/>
  <c r="P1602" i="13"/>
  <c r="P1604" i="13"/>
  <c r="P1606" i="13"/>
  <c r="P1608" i="13"/>
  <c r="P1612" i="13"/>
  <c r="P1616" i="13"/>
  <c r="P1618" i="13"/>
  <c r="P1624" i="13"/>
  <c r="P1626" i="13"/>
  <c r="P1659" i="13"/>
  <c r="P211" i="13"/>
  <c r="P546" i="13"/>
  <c r="P550" i="13"/>
  <c r="P552" i="13"/>
  <c r="P554" i="13"/>
  <c r="P558" i="13"/>
  <c r="P564" i="13"/>
  <c r="P570" i="13"/>
  <c r="P578" i="13"/>
  <c r="P580" i="13"/>
  <c r="P806" i="13"/>
  <c r="P812" i="13"/>
  <c r="P820" i="13"/>
  <c r="P822" i="13"/>
  <c r="P824" i="13"/>
  <c r="P828" i="13"/>
  <c r="P832" i="13"/>
  <c r="P838" i="13"/>
  <c r="P840" i="13"/>
  <c r="P842" i="13"/>
  <c r="P844" i="13"/>
  <c r="P846" i="13"/>
  <c r="P850" i="13"/>
  <c r="P852" i="13"/>
  <c r="P854" i="13"/>
  <c r="P973" i="13"/>
  <c r="P979" i="13"/>
  <c r="P983" i="13"/>
  <c r="P985" i="13"/>
  <c r="P989" i="13"/>
  <c r="P991" i="13"/>
  <c r="P993" i="13"/>
  <c r="P995" i="13"/>
  <c r="P997" i="13"/>
  <c r="P999" i="13"/>
  <c r="P1001" i="13"/>
  <c r="P1003" i="13"/>
  <c r="P1005" i="13"/>
  <c r="P1007" i="13"/>
  <c r="P1009" i="13"/>
  <c r="P1015" i="13"/>
  <c r="P1023" i="13"/>
  <c r="P1149" i="13"/>
  <c r="P1151" i="13"/>
  <c r="P1161" i="13"/>
  <c r="P1169" i="13"/>
  <c r="P1191" i="13"/>
  <c r="P1332" i="13"/>
  <c r="P1338" i="13"/>
  <c r="P1745" i="13"/>
  <c r="P1747" i="13"/>
  <c r="P1767" i="13"/>
  <c r="P1769" i="13"/>
  <c r="P1771" i="13"/>
  <c r="P1775" i="13"/>
  <c r="P1777" i="13"/>
  <c r="P1779" i="13"/>
  <c r="P1781" i="13"/>
  <c r="P1783" i="13"/>
  <c r="P1785" i="13"/>
  <c r="P1787" i="13"/>
  <c r="P1789" i="13"/>
  <c r="P1791" i="13"/>
  <c r="P1793" i="13"/>
  <c r="P1795" i="13"/>
  <c r="P1797" i="13"/>
  <c r="P1799" i="13"/>
  <c r="P1921" i="13"/>
  <c r="P1949" i="13"/>
  <c r="P1953" i="13"/>
  <c r="P660" i="13"/>
  <c r="P892" i="13"/>
  <c r="P914" i="13"/>
  <c r="P922" i="13"/>
  <c r="P928" i="13"/>
  <c r="P1235" i="13"/>
  <c r="P1237" i="13"/>
  <c r="P1239" i="13"/>
  <c r="P1241" i="13"/>
  <c r="P1245" i="13"/>
  <c r="P1247" i="13"/>
  <c r="P1249" i="13"/>
  <c r="P1251" i="13"/>
  <c r="P1253" i="13"/>
  <c r="P1259" i="13"/>
  <c r="P1261" i="13"/>
  <c r="P1263" i="13"/>
  <c r="P1265" i="13"/>
  <c r="P1267" i="13"/>
  <c r="P1269" i="13"/>
  <c r="P1271" i="13"/>
  <c r="P1420" i="13"/>
  <c r="P1422" i="13"/>
  <c r="P1424" i="13"/>
  <c r="P1432" i="13"/>
  <c r="P1438" i="13"/>
  <c r="P1440" i="13"/>
  <c r="P1442" i="13"/>
  <c r="P1446" i="13"/>
  <c r="P1448" i="13"/>
  <c r="P1452" i="13"/>
  <c r="P1454" i="13"/>
  <c r="P1456" i="13"/>
  <c r="P1601" i="13"/>
  <c r="P1603" i="13"/>
  <c r="P1605" i="13"/>
  <c r="P1607" i="13"/>
  <c r="P1611" i="13"/>
  <c r="P1613" i="13"/>
  <c r="P1617" i="13"/>
  <c r="P628" i="13"/>
  <c r="P656" i="13"/>
  <c r="P906" i="13"/>
  <c r="P912" i="13"/>
  <c r="P938" i="13"/>
  <c r="P1916" i="13"/>
  <c r="P199" i="13"/>
  <c r="P201" i="13"/>
  <c r="P205" i="13"/>
  <c r="P207" i="13"/>
  <c r="P209" i="13"/>
  <c r="P213" i="13"/>
  <c r="P215" i="13"/>
  <c r="P219" i="13"/>
  <c r="P223" i="13"/>
  <c r="P231" i="13"/>
  <c r="P648" i="13"/>
  <c r="O521" i="13"/>
  <c r="O607" i="13"/>
  <c r="O783" i="13"/>
  <c r="O955" i="13"/>
  <c r="O1471" i="13"/>
  <c r="P208" i="13"/>
  <c r="P224" i="13"/>
  <c r="P226" i="13"/>
  <c r="P228" i="13"/>
  <c r="P234" i="13"/>
  <c r="P236" i="13"/>
  <c r="P370" i="13"/>
  <c r="P380" i="13"/>
  <c r="P392" i="13"/>
  <c r="P394" i="13"/>
  <c r="P396" i="13"/>
  <c r="P494" i="13"/>
  <c r="P498" i="13"/>
  <c r="P1188" i="13"/>
  <c r="P1194" i="13"/>
  <c r="P1329" i="13"/>
  <c r="P1337" i="13"/>
  <c r="P1357" i="13"/>
  <c r="P1496" i="13"/>
  <c r="P1514" i="13"/>
  <c r="P1516" i="13"/>
  <c r="P1534" i="13"/>
  <c r="P1705" i="13"/>
  <c r="P759" i="13"/>
  <c r="P761" i="13"/>
  <c r="P765" i="13"/>
  <c r="D1656" i="13"/>
  <c r="G1655" i="13"/>
  <c r="E1439" i="20"/>
  <c r="F1439" i="20" s="1"/>
  <c r="D1440" i="20" s="1"/>
  <c r="P1937" i="13"/>
  <c r="P1943" i="13"/>
  <c r="P1498" i="13"/>
  <c r="P1160" i="13"/>
  <c r="P1526" i="13"/>
  <c r="P741" i="13"/>
  <c r="P743" i="13"/>
  <c r="P745" i="13"/>
  <c r="P757" i="13"/>
  <c r="P1174" i="13"/>
  <c r="P1319" i="13"/>
  <c r="P1323" i="13"/>
  <c r="P1325" i="13"/>
  <c r="P1327" i="13"/>
  <c r="P1331" i="13"/>
  <c r="P1335" i="13"/>
  <c r="P1339" i="13"/>
  <c r="P1490" i="13"/>
  <c r="P1518" i="13"/>
  <c r="P148" i="13"/>
  <c r="P146" i="13"/>
  <c r="P138" i="13"/>
  <c r="P136" i="13"/>
  <c r="P1522" i="13"/>
  <c r="P1532" i="13"/>
  <c r="O1901" i="13"/>
  <c r="P157" i="13"/>
  <c r="P117" i="13"/>
  <c r="P544" i="13"/>
  <c r="P556" i="13"/>
  <c r="P588" i="13"/>
  <c r="P590" i="13"/>
  <c r="P592" i="13"/>
  <c r="P1147" i="13"/>
  <c r="P1153" i="13"/>
  <c r="P1155" i="13"/>
  <c r="P1157" i="13"/>
  <c r="P1159" i="13"/>
  <c r="P1163" i="13"/>
  <c r="P1173" i="13"/>
  <c r="P1521" i="13"/>
  <c r="P1537" i="13"/>
  <c r="P1660" i="13"/>
  <c r="P1664" i="13"/>
  <c r="P1666" i="13"/>
  <c r="P1676" i="13"/>
  <c r="P1680" i="13"/>
  <c r="P1682" i="13"/>
  <c r="P1684" i="13"/>
  <c r="P1688" i="13"/>
  <c r="P1690" i="13"/>
  <c r="P1694" i="13"/>
  <c r="P1696" i="13"/>
  <c r="P1698" i="13"/>
  <c r="P1700" i="13"/>
  <c r="P1702" i="13"/>
  <c r="P1704" i="13"/>
  <c r="P1914" i="13"/>
  <c r="O1385" i="13"/>
  <c r="P284" i="13"/>
  <c r="P292" i="13"/>
  <c r="P298" i="13"/>
  <c r="P300" i="13"/>
  <c r="P304" i="13"/>
  <c r="P306" i="13"/>
  <c r="P308" i="13"/>
  <c r="P310" i="13"/>
  <c r="P312" i="13"/>
  <c r="P314" i="13"/>
  <c r="P332" i="13"/>
  <c r="P457" i="13"/>
  <c r="P463" i="13"/>
  <c r="P465" i="13"/>
  <c r="P469" i="13"/>
  <c r="P471" i="13"/>
  <c r="P475" i="13"/>
  <c r="P477" i="13"/>
  <c r="P479" i="13"/>
  <c r="P481" i="13"/>
  <c r="P487" i="13"/>
  <c r="P489" i="13"/>
  <c r="P491" i="13"/>
  <c r="P493" i="13"/>
  <c r="P503" i="13"/>
  <c r="P505" i="13"/>
  <c r="P635" i="13"/>
  <c r="P639" i="13"/>
  <c r="P641" i="13"/>
  <c r="P647" i="13"/>
  <c r="P649" i="13"/>
  <c r="P651" i="13"/>
  <c r="P653" i="13"/>
  <c r="P655" i="13"/>
  <c r="P659" i="13"/>
  <c r="P661" i="13"/>
  <c r="P665" i="13"/>
  <c r="P671" i="13"/>
  <c r="P677" i="13"/>
  <c r="P905" i="13"/>
  <c r="P907" i="13"/>
  <c r="P917" i="13"/>
  <c r="P919" i="13"/>
  <c r="P921" i="13"/>
  <c r="P923" i="13"/>
  <c r="P927" i="13"/>
  <c r="P931" i="13"/>
  <c r="P1065" i="13"/>
  <c r="P1071" i="13"/>
  <c r="P1077" i="13"/>
  <c r="P1081" i="13"/>
  <c r="P1083" i="13"/>
  <c r="P1087" i="13"/>
  <c r="P1093" i="13"/>
  <c r="P1232" i="13"/>
  <c r="P1238" i="13"/>
  <c r="P1244" i="13"/>
  <c r="P1246" i="13"/>
  <c r="P1250" i="13"/>
  <c r="P1252" i="13"/>
  <c r="P1254" i="13"/>
  <c r="P1258" i="13"/>
  <c r="P1274" i="13"/>
  <c r="P1276" i="13"/>
  <c r="P1282" i="13"/>
  <c r="P1284" i="13"/>
  <c r="P1407" i="13"/>
  <c r="P1409" i="13"/>
  <c r="P1411" i="13"/>
  <c r="P1427" i="13"/>
  <c r="P1429" i="13"/>
  <c r="P1433" i="13"/>
  <c r="P1435" i="13"/>
  <c r="P1445" i="13"/>
  <c r="P293" i="13"/>
  <c r="P313" i="13"/>
  <c r="P315" i="13"/>
  <c r="P460" i="13"/>
  <c r="P462" i="13"/>
  <c r="P472" i="13"/>
  <c r="P474" i="13"/>
  <c r="P480" i="13"/>
  <c r="P496" i="13"/>
  <c r="P500" i="13"/>
  <c r="P504" i="13"/>
  <c r="P506" i="13"/>
  <c r="P632" i="13"/>
  <c r="P634" i="13"/>
  <c r="P636" i="13"/>
  <c r="P652" i="13"/>
  <c r="P896" i="13"/>
  <c r="P908" i="13"/>
  <c r="P910" i="13"/>
  <c r="P916" i="13"/>
  <c r="P918" i="13"/>
  <c r="P920" i="13"/>
  <c r="P934" i="13"/>
  <c r="P940" i="13"/>
  <c r="P1084" i="13"/>
  <c r="P1088" i="13"/>
  <c r="P1096" i="13"/>
  <c r="P1098" i="13"/>
  <c r="P1100" i="13"/>
  <c r="P1104" i="13"/>
  <c r="P1106" i="13"/>
  <c r="P1110" i="13"/>
  <c r="P1112" i="13"/>
  <c r="P329" i="13"/>
  <c r="P540" i="13"/>
  <c r="P678" i="13"/>
  <c r="P1060" i="13"/>
  <c r="P1064" i="13"/>
  <c r="P1094" i="13"/>
  <c r="P1341" i="13"/>
  <c r="P1343" i="13"/>
  <c r="P1345" i="13"/>
  <c r="P1349" i="13"/>
  <c r="P1351" i="13"/>
  <c r="P1355" i="13"/>
  <c r="P1359" i="13"/>
  <c r="P1361" i="13"/>
  <c r="P1363" i="13"/>
  <c r="P1367" i="13"/>
  <c r="P1492" i="13"/>
  <c r="P1500" i="13"/>
  <c r="P1506" i="13"/>
  <c r="P1512" i="13"/>
  <c r="P1520" i="13"/>
  <c r="P1095" i="13"/>
  <c r="P1097" i="13"/>
  <c r="P1103" i="13"/>
  <c r="P1105" i="13"/>
  <c r="P1109" i="13"/>
  <c r="P1177" i="13"/>
  <c r="P1179" i="13"/>
  <c r="P1187" i="13"/>
  <c r="P1189" i="13"/>
  <c r="P1195" i="13"/>
  <c r="P1318" i="13"/>
  <c r="P1320" i="13"/>
  <c r="P1322" i="13"/>
  <c r="P1324" i="13"/>
  <c r="P1326" i="13"/>
  <c r="P1328" i="13"/>
  <c r="P1334" i="13"/>
  <c r="P1336" i="13"/>
  <c r="P1340" i="13"/>
  <c r="P1344" i="13"/>
  <c r="P1346" i="13"/>
  <c r="P1348" i="13"/>
  <c r="P1350" i="13"/>
  <c r="P1352" i="13"/>
  <c r="P1354" i="13"/>
  <c r="P1356" i="13"/>
  <c r="P1358" i="13"/>
  <c r="P1366" i="13"/>
  <c r="P1368" i="13"/>
  <c r="P1370" i="13"/>
  <c r="P1491" i="13"/>
  <c r="P1497" i="13"/>
  <c r="P1509" i="13"/>
  <c r="P1579" i="13"/>
  <c r="P1585" i="13"/>
  <c r="P1850" i="13"/>
  <c r="P733" i="13"/>
  <c r="P747" i="13"/>
  <c r="P235" i="13"/>
  <c r="P387" i="13"/>
  <c r="P399" i="13"/>
  <c r="P401" i="13"/>
  <c r="P411" i="13"/>
  <c r="P419" i="13"/>
  <c r="P539" i="13"/>
  <c r="P543" i="13"/>
  <c r="P545" i="13"/>
  <c r="P553" i="13"/>
  <c r="P559" i="13"/>
  <c r="P565" i="13"/>
  <c r="P571" i="13"/>
  <c r="P573" i="13"/>
  <c r="P575" i="13"/>
  <c r="P577" i="13"/>
  <c r="P585" i="13"/>
  <c r="P589" i="13"/>
  <c r="P809" i="13"/>
  <c r="P811" i="13"/>
  <c r="P813" i="13"/>
  <c r="P819" i="13"/>
  <c r="P821" i="13"/>
  <c r="P827" i="13"/>
  <c r="P829" i="13"/>
  <c r="P831" i="13"/>
  <c r="P833" i="13"/>
  <c r="P835" i="13"/>
  <c r="P837" i="13"/>
  <c r="P841" i="13"/>
  <c r="P843" i="13"/>
  <c r="P853" i="13"/>
  <c r="P974" i="13"/>
  <c r="P976" i="13"/>
  <c r="P980" i="13"/>
  <c r="P982" i="13"/>
  <c r="P984" i="13"/>
  <c r="P986" i="13"/>
  <c r="P988" i="13"/>
  <c r="P990" i="13"/>
  <c r="P994" i="13"/>
  <c r="P996" i="13"/>
  <c r="P998" i="13"/>
  <c r="P1002" i="13"/>
  <c r="P1004" i="13"/>
  <c r="P1006" i="13"/>
  <c r="P1008" i="13"/>
  <c r="P1012" i="13"/>
  <c r="P1016" i="13"/>
  <c r="P1020" i="13"/>
  <c r="P1024" i="13"/>
  <c r="P1240" i="13"/>
  <c r="P1242" i="13"/>
  <c r="P1262" i="13"/>
  <c r="P1264" i="13"/>
  <c r="P1266" i="13"/>
  <c r="P1272" i="13"/>
  <c r="P1449" i="13"/>
  <c r="P1451" i="13"/>
  <c r="P1453" i="13"/>
  <c r="P1455" i="13"/>
  <c r="P239" i="13"/>
  <c r="P241" i="13"/>
  <c r="P243" i="13"/>
  <c r="P245" i="13"/>
  <c r="P247" i="13"/>
  <c r="P403" i="13"/>
  <c r="P405" i="13"/>
  <c r="P1099" i="13"/>
  <c r="P1107" i="13"/>
  <c r="P1185" i="13"/>
  <c r="P1536" i="13"/>
  <c r="P1576" i="13"/>
  <c r="P1620" i="13"/>
  <c r="P1622" i="13"/>
  <c r="P1628" i="13"/>
  <c r="P1714" i="13"/>
  <c r="P1833" i="13"/>
  <c r="P1837" i="13"/>
  <c r="P1841" i="13"/>
  <c r="P1853" i="13"/>
  <c r="P1855" i="13"/>
  <c r="P1863" i="13"/>
  <c r="P1871" i="13"/>
  <c r="P716" i="13"/>
  <c r="P718" i="13"/>
  <c r="P1400" i="13"/>
  <c r="P220" i="13"/>
  <c r="P230" i="13"/>
  <c r="P291" i="13"/>
  <c r="P323" i="13"/>
  <c r="P468" i="13"/>
  <c r="P836" i="13"/>
  <c r="P1066" i="13"/>
  <c r="P1068" i="13"/>
  <c r="P1078" i="13"/>
  <c r="P1080" i="13"/>
  <c r="P1082" i="13"/>
  <c r="P1090" i="13"/>
  <c r="P1092" i="13"/>
  <c r="P1321" i="13"/>
  <c r="P1413" i="13"/>
  <c r="P1419" i="13"/>
  <c r="P1421" i="13"/>
  <c r="P1423" i="13"/>
  <c r="P1425" i="13"/>
  <c r="P1527" i="13"/>
  <c r="P1529" i="13"/>
  <c r="P1531" i="13"/>
  <c r="P1945" i="13"/>
  <c r="P727" i="13"/>
  <c r="P116" i="13"/>
  <c r="P229" i="13"/>
  <c r="P286" i="13"/>
  <c r="P542" i="13"/>
  <c r="P560" i="13"/>
  <c r="P1073" i="13"/>
  <c r="P1079" i="13"/>
  <c r="P1089" i="13"/>
  <c r="P1530" i="13"/>
  <c r="P1668" i="13"/>
  <c r="P1670" i="13"/>
  <c r="P1672" i="13"/>
  <c r="P1674" i="13"/>
  <c r="P1678" i="13"/>
  <c r="P1746" i="13"/>
  <c r="P1748" i="13"/>
  <c r="P1750" i="13"/>
  <c r="P1762" i="13"/>
  <c r="P1952" i="13"/>
  <c r="P1958" i="13"/>
  <c r="P151" i="13"/>
  <c r="P123" i="13"/>
  <c r="P295" i="13"/>
  <c r="P307" i="13"/>
  <c r="P466" i="13"/>
  <c r="P1330" i="13"/>
  <c r="P726" i="13"/>
  <c r="P730" i="13"/>
  <c r="P736" i="13"/>
  <c r="P738" i="13"/>
  <c r="P740" i="13"/>
  <c r="P1166" i="13"/>
  <c r="P1667" i="13"/>
  <c r="P1671" i="13"/>
  <c r="P1673" i="13"/>
  <c r="P1675" i="13"/>
  <c r="P1679" i="13"/>
  <c r="P1681" i="13"/>
  <c r="P1683" i="13"/>
  <c r="P1751" i="13"/>
  <c r="P1759" i="13"/>
  <c r="P1925" i="13"/>
  <c r="P1931" i="13"/>
  <c r="P1951" i="13"/>
  <c r="P1955" i="13"/>
  <c r="P1957" i="13"/>
  <c r="P1959" i="13"/>
  <c r="P1963" i="13"/>
  <c r="P1965" i="13"/>
  <c r="P1658" i="13"/>
  <c r="P1913" i="13"/>
  <c r="P160" i="13"/>
  <c r="P154" i="13"/>
  <c r="P808" i="13"/>
  <c r="P810" i="13"/>
  <c r="P814" i="13"/>
  <c r="P818" i="13"/>
  <c r="P830" i="13"/>
  <c r="P848" i="13"/>
  <c r="P975" i="13"/>
  <c r="P981" i="13"/>
  <c r="P987" i="13"/>
  <c r="P1011" i="13"/>
  <c r="P1013" i="13"/>
  <c r="P1017" i="13"/>
  <c r="P1019" i="13"/>
  <c r="P1021" i="13"/>
  <c r="P1025" i="13"/>
  <c r="P1108" i="13"/>
  <c r="P1410" i="13"/>
  <c r="P1412" i="13"/>
  <c r="P1418" i="13"/>
  <c r="P1434" i="13"/>
  <c r="P1436" i="13"/>
  <c r="P1577" i="13"/>
  <c r="P1583" i="13"/>
  <c r="P1589" i="13"/>
  <c r="P1593" i="13"/>
  <c r="P1597" i="13"/>
  <c r="P1609" i="13"/>
  <c r="P1615" i="13"/>
  <c r="P1619" i="13"/>
  <c r="P150" i="13"/>
  <c r="P144" i="13"/>
  <c r="P382" i="13"/>
  <c r="P386" i="13"/>
  <c r="P398" i="13"/>
  <c r="P400" i="13"/>
  <c r="P402" i="13"/>
  <c r="P410" i="13"/>
  <c r="P412" i="13"/>
  <c r="P414" i="13"/>
  <c r="P416" i="13"/>
  <c r="P418" i="13"/>
  <c r="P420" i="13"/>
  <c r="P482" i="13"/>
  <c r="P484" i="13"/>
  <c r="P486" i="13"/>
  <c r="P492" i="13"/>
  <c r="P502" i="13"/>
  <c r="P630" i="13"/>
  <c r="P638" i="13"/>
  <c r="P640" i="13"/>
  <c r="P642" i="13"/>
  <c r="P658" i="13"/>
  <c r="P664" i="13"/>
  <c r="P666" i="13"/>
  <c r="P670" i="13"/>
  <c r="P672" i="13"/>
  <c r="P676" i="13"/>
  <c r="P803" i="13"/>
  <c r="P805" i="13"/>
  <c r="P807" i="13"/>
  <c r="P891" i="13"/>
  <c r="P893" i="13"/>
  <c r="P895" i="13"/>
  <c r="P897" i="13"/>
  <c r="P899" i="13"/>
  <c r="P901" i="13"/>
  <c r="P913" i="13"/>
  <c r="P915" i="13"/>
  <c r="P1165" i="13"/>
  <c r="P1176" i="13"/>
  <c r="P1180" i="13"/>
  <c r="P1184" i="13"/>
  <c r="P1280" i="13"/>
  <c r="P1511" i="13"/>
  <c r="P1707" i="13"/>
  <c r="P1713" i="13"/>
  <c r="P1848" i="13"/>
  <c r="P1864" i="13"/>
  <c r="P1929" i="13"/>
  <c r="P1941" i="13"/>
  <c r="P1946" i="13"/>
  <c r="P1948" i="13"/>
  <c r="P1950" i="13"/>
  <c r="P717" i="13"/>
  <c r="P719" i="13"/>
  <c r="P723" i="13"/>
  <c r="P725" i="13"/>
  <c r="P1398" i="13"/>
  <c r="P139" i="13"/>
  <c r="P137" i="13"/>
  <c r="P135" i="13"/>
  <c r="P133" i="13"/>
  <c r="P129" i="13"/>
  <c r="P383" i="13"/>
  <c r="P397" i="13"/>
  <c r="P415" i="13"/>
  <c r="P629" i="13"/>
  <c r="P637" i="13"/>
  <c r="P645" i="13"/>
  <c r="P675" i="13"/>
  <c r="P894" i="13"/>
  <c r="P904" i="13"/>
  <c r="P936" i="13"/>
  <c r="P1171" i="13"/>
  <c r="P1175" i="13"/>
  <c r="P1181" i="13"/>
  <c r="P1183" i="13"/>
  <c r="P1197" i="13"/>
  <c r="P1281" i="13"/>
  <c r="P1283" i="13"/>
  <c r="P1708" i="13"/>
  <c r="P1710" i="13"/>
  <c r="P1865" i="13"/>
  <c r="P1873" i="13"/>
  <c r="P1875" i="13"/>
  <c r="P1877" i="13"/>
  <c r="P1879" i="13"/>
  <c r="P1883" i="13"/>
  <c r="P1885" i="13"/>
  <c r="P1535" i="13"/>
  <c r="P1761" i="13"/>
  <c r="P933" i="13"/>
  <c r="P318" i="13"/>
  <c r="P1431" i="13"/>
  <c r="P1655" i="13"/>
  <c r="P122" i="13"/>
  <c r="P118" i="13"/>
  <c r="P297" i="13"/>
  <c r="P299" i="13"/>
  <c r="P305" i="13"/>
  <c r="P320" i="13"/>
  <c r="P322" i="13"/>
  <c r="P326" i="13"/>
  <c r="P371" i="13"/>
  <c r="P373" i="13"/>
  <c r="P377" i="13"/>
  <c r="P379" i="13"/>
  <c r="P381" i="13"/>
  <c r="P459" i="13"/>
  <c r="P461" i="13"/>
  <c r="P485" i="13"/>
  <c r="P541" i="13"/>
  <c r="P567" i="13"/>
  <c r="P569" i="13"/>
  <c r="P579" i="13"/>
  <c r="P581" i="13"/>
  <c r="P587" i="13"/>
  <c r="P817" i="13"/>
  <c r="P823" i="13"/>
  <c r="P825" i="13"/>
  <c r="P845" i="13"/>
  <c r="P847" i="13"/>
  <c r="P935" i="13"/>
  <c r="P937" i="13"/>
  <c r="P939" i="13"/>
  <c r="P1196" i="13"/>
  <c r="P1198" i="13"/>
  <c r="P1273" i="13"/>
  <c r="P1275" i="13"/>
  <c r="P1277" i="13"/>
  <c r="P1279" i="13"/>
  <c r="P1342" i="13"/>
  <c r="P1404" i="13"/>
  <c r="P1406" i="13"/>
  <c r="P1408" i="13"/>
  <c r="P1437" i="13"/>
  <c r="P1439" i="13"/>
  <c r="P1441" i="13"/>
  <c r="P1443" i="13"/>
  <c r="P1513" i="13"/>
  <c r="P1515" i="13"/>
  <c r="P1517" i="13"/>
  <c r="P1584" i="13"/>
  <c r="P1586" i="13"/>
  <c r="P1662" i="13"/>
  <c r="P1695" i="13"/>
  <c r="P1706" i="13"/>
  <c r="P1763" i="13"/>
  <c r="P1859" i="13"/>
  <c r="P1962" i="13"/>
  <c r="P1966" i="13"/>
  <c r="P1968" i="13"/>
  <c r="P1970" i="13"/>
  <c r="P735" i="13"/>
  <c r="P1915" i="13"/>
  <c r="P152" i="13"/>
  <c r="P147" i="13"/>
  <c r="P143" i="13"/>
  <c r="P141" i="13"/>
  <c r="P221" i="13"/>
  <c r="P227" i="13"/>
  <c r="P233" i="13"/>
  <c r="P290" i="13"/>
  <c r="P317" i="13"/>
  <c r="P319" i="13"/>
  <c r="P330" i="13"/>
  <c r="P334" i="13"/>
  <c r="P389" i="13"/>
  <c r="P391" i="13"/>
  <c r="P393" i="13"/>
  <c r="P407" i="13"/>
  <c r="P409" i="13"/>
  <c r="P902" i="13"/>
  <c r="P924" i="13"/>
  <c r="P926" i="13"/>
  <c r="P932" i="13"/>
  <c r="P1067" i="13"/>
  <c r="P1075" i="13"/>
  <c r="P1170" i="13"/>
  <c r="P1260" i="13"/>
  <c r="P1360" i="13"/>
  <c r="P1362" i="13"/>
  <c r="P1364" i="13"/>
  <c r="P1426" i="13"/>
  <c r="P1430" i="13"/>
  <c r="P1450" i="13"/>
  <c r="P1502" i="13"/>
  <c r="P1504" i="13"/>
  <c r="P1510" i="13"/>
  <c r="P1539" i="13"/>
  <c r="P1591" i="13"/>
  <c r="P1661" i="13"/>
  <c r="P1669" i="13"/>
  <c r="P1692" i="13"/>
  <c r="P1834" i="13"/>
  <c r="P1846" i="13"/>
  <c r="P1858" i="13"/>
  <c r="P1927" i="13"/>
  <c r="P753" i="13"/>
  <c r="P755" i="13"/>
  <c r="P153" i="13"/>
  <c r="P140" i="13"/>
  <c r="P132" i="13"/>
  <c r="P130" i="13"/>
  <c r="P128" i="13"/>
  <c r="P124" i="13"/>
  <c r="P115" i="13"/>
  <c r="P204" i="13"/>
  <c r="P206" i="13"/>
  <c r="P210" i="13"/>
  <c r="P212" i="13"/>
  <c r="P214" i="13"/>
  <c r="P285" i="13"/>
  <c r="P325" i="13"/>
  <c r="P327" i="13"/>
  <c r="P331" i="13"/>
  <c r="P384" i="13"/>
  <c r="P406" i="13"/>
  <c r="P408" i="13"/>
  <c r="P464" i="13"/>
  <c r="P470" i="13"/>
  <c r="P488" i="13"/>
  <c r="P490" i="13"/>
  <c r="P650" i="13"/>
  <c r="P662" i="13"/>
  <c r="P925" i="13"/>
  <c r="P1072" i="13"/>
  <c r="P1074" i="13"/>
  <c r="P1086" i="13"/>
  <c r="P1111" i="13"/>
  <c r="P1167" i="13"/>
  <c r="P1369" i="13"/>
  <c r="P1493" i="13"/>
  <c r="P1495" i="13"/>
  <c r="P1503" i="13"/>
  <c r="P1533" i="13"/>
  <c r="P1538" i="13"/>
  <c r="P1621" i="13"/>
  <c r="P1627" i="13"/>
  <c r="P1685" i="13"/>
  <c r="P1691" i="13"/>
  <c r="P972" i="13"/>
  <c r="P1827" i="13"/>
  <c r="P158" i="13"/>
  <c r="P156" i="13"/>
  <c r="P142" i="13"/>
  <c r="P121" i="13"/>
  <c r="P200" i="13"/>
  <c r="P202" i="13"/>
  <c r="P216" i="13"/>
  <c r="P218" i="13"/>
  <c r="P238" i="13"/>
  <c r="P240" i="13"/>
  <c r="P242" i="13"/>
  <c r="P244" i="13"/>
  <c r="P246" i="13"/>
  <c r="P248" i="13"/>
  <c r="P287" i="13"/>
  <c r="P289" i="13"/>
  <c r="P294" i="13"/>
  <c r="P296" i="13"/>
  <c r="P301" i="13"/>
  <c r="P395" i="13"/>
  <c r="P1236" i="13"/>
  <c r="P1519" i="13"/>
  <c r="O1557" i="13"/>
  <c r="P161" i="13"/>
  <c r="P159" i="13"/>
  <c r="P145" i="13"/>
  <c r="P134" i="13"/>
  <c r="P120" i="13"/>
  <c r="P203" i="13"/>
  <c r="P217" i="13"/>
  <c r="P225" i="13"/>
  <c r="P232" i="13"/>
  <c r="P237" i="13"/>
  <c r="P288" i="13"/>
  <c r="P324" i="13"/>
  <c r="P458" i="13"/>
  <c r="P566" i="13"/>
  <c r="P1193" i="13"/>
  <c r="P1243" i="13"/>
  <c r="P1753" i="13"/>
  <c r="P1856" i="13"/>
  <c r="P1961" i="13"/>
  <c r="P732" i="13"/>
  <c r="P404" i="13"/>
  <c r="P467" i="13"/>
  <c r="P497" i="13"/>
  <c r="P499" i="13"/>
  <c r="P501" i="13"/>
  <c r="P547" i="13"/>
  <c r="P549" i="13"/>
  <c r="P551" i="13"/>
  <c r="P555" i="13"/>
  <c r="P561" i="13"/>
  <c r="P568" i="13"/>
  <c r="P572" i="13"/>
  <c r="P574" i="13"/>
  <c r="P582" i="13"/>
  <c r="P584" i="13"/>
  <c r="P586" i="13"/>
  <c r="P631" i="13"/>
  <c r="P633" i="13"/>
  <c r="P644" i="13"/>
  <c r="P646" i="13"/>
  <c r="P663" i="13"/>
  <c r="P826" i="13"/>
  <c r="P890" i="13"/>
  <c r="P992" i="13"/>
  <c r="P1070" i="13"/>
  <c r="P1102" i="13"/>
  <c r="P1172" i="13"/>
  <c r="P1182" i="13"/>
  <c r="P1255" i="13"/>
  <c r="P1268" i="13"/>
  <c r="P1270" i="13"/>
  <c r="P1353" i="13"/>
  <c r="P1414" i="13"/>
  <c r="P1416" i="13"/>
  <c r="P1499" i="13"/>
  <c r="P1501" i="13"/>
  <c r="P1581" i="13"/>
  <c r="P1623" i="13"/>
  <c r="P1625" i="13"/>
  <c r="P1687" i="13"/>
  <c r="P1689" i="13"/>
  <c r="P1701" i="13"/>
  <c r="P1712" i="13"/>
  <c r="P1755" i="13"/>
  <c r="P1766" i="13"/>
  <c r="P1852" i="13"/>
  <c r="P1854" i="13"/>
  <c r="P1869" i="13"/>
  <c r="P1933" i="13"/>
  <c r="P1935" i="13"/>
  <c r="P1939" i="13"/>
  <c r="P1954" i="13"/>
  <c r="P1956" i="13"/>
  <c r="P729" i="13"/>
  <c r="P749" i="13"/>
  <c r="P751" i="13"/>
  <c r="P309" i="13"/>
  <c r="P311" i="13"/>
  <c r="P321" i="13"/>
  <c r="P328" i="13"/>
  <c r="P333" i="13"/>
  <c r="P372" i="13"/>
  <c r="P374" i="13"/>
  <c r="P376" i="13"/>
  <c r="P378" i="13"/>
  <c r="P388" i="13"/>
  <c r="P390" i="13"/>
  <c r="P413" i="13"/>
  <c r="P417" i="13"/>
  <c r="P476" i="13"/>
  <c r="P478" i="13"/>
  <c r="P483" i="13"/>
  <c r="P591" i="13"/>
  <c r="P667" i="13"/>
  <c r="P673" i="13"/>
  <c r="P802" i="13"/>
  <c r="P804" i="13"/>
  <c r="P815" i="13"/>
  <c r="P898" i="13"/>
  <c r="P900" i="13"/>
  <c r="P1061" i="13"/>
  <c r="P1063" i="13"/>
  <c r="P1076" i="13"/>
  <c r="P1186" i="13"/>
  <c r="P1192" i="13"/>
  <c r="P1233" i="13"/>
  <c r="P1365" i="13"/>
  <c r="P1444" i="13"/>
  <c r="P1505" i="13"/>
  <c r="P1507" i="13"/>
  <c r="P1523" i="13"/>
  <c r="P1525" i="13"/>
  <c r="P1587" i="13"/>
  <c r="P1600" i="13"/>
  <c r="P1610" i="13"/>
  <c r="P1614" i="13"/>
  <c r="P1663" i="13"/>
  <c r="P1665" i="13"/>
  <c r="P1835" i="13"/>
  <c r="P1843" i="13"/>
  <c r="P1845" i="13"/>
  <c r="P1860" i="13"/>
  <c r="P1862" i="13"/>
  <c r="P1960" i="13"/>
  <c r="P1971" i="13"/>
  <c r="P763" i="13"/>
  <c r="P385" i="13"/>
  <c r="P456" i="13"/>
  <c r="P473" i="13"/>
  <c r="P562" i="13"/>
  <c r="P657" i="13"/>
  <c r="P674" i="13"/>
  <c r="P816" i="13"/>
  <c r="P930" i="13"/>
  <c r="P1062" i="13"/>
  <c r="P1428" i="13"/>
  <c r="P1447" i="13"/>
  <c r="P1588" i="13"/>
  <c r="P1595" i="13"/>
  <c r="P1599" i="13"/>
  <c r="P1677" i="13"/>
  <c r="P1697" i="13"/>
  <c r="P1964" i="13"/>
  <c r="P721" i="13"/>
  <c r="P739" i="13"/>
  <c r="G113" i="2"/>
  <c r="P222" i="13"/>
  <c r="P303" i="13"/>
  <c r="P495" i="13"/>
  <c r="P557" i="13"/>
  <c r="P563" i="13"/>
  <c r="P576" i="13"/>
  <c r="P131" i="13"/>
  <c r="P125" i="13"/>
  <c r="P583" i="13"/>
  <c r="P643" i="13"/>
  <c r="P654" i="13"/>
  <c r="P668" i="13"/>
  <c r="P834" i="13"/>
  <c r="P1257" i="13"/>
  <c r="P1703" i="13"/>
  <c r="P1757" i="13"/>
  <c r="P734" i="13"/>
  <c r="P977" i="13"/>
  <c r="P1026" i="13"/>
  <c r="P1069" i="13"/>
  <c r="P1101" i="13"/>
  <c r="P1168" i="13"/>
  <c r="P1178" i="13"/>
  <c r="P1347" i="13"/>
  <c r="P1541" i="13"/>
  <c r="P1580" i="13"/>
  <c r="P1765" i="13"/>
  <c r="P1940" i="13"/>
  <c r="O90" i="13" l="1"/>
  <c r="O349" i="13"/>
  <c r="O1213" i="13"/>
  <c r="O1041" i="13"/>
  <c r="O869" i="13"/>
  <c r="O1299" i="13"/>
  <c r="O21" i="13"/>
  <c r="O1643" i="13"/>
  <c r="G51" i="5"/>
  <c r="I49" i="5"/>
  <c r="I51" i="5" s="1"/>
  <c r="G103" i="2" s="1"/>
  <c r="D23" i="50"/>
  <c r="H22" i="50"/>
  <c r="K22" i="50" s="1"/>
  <c r="O263" i="13"/>
  <c r="E103" i="41"/>
  <c r="E95" i="41"/>
  <c r="C104" i="41"/>
  <c r="E20" i="2"/>
  <c r="A50" i="11"/>
  <c r="A51" i="11" s="1"/>
  <c r="E89" i="41"/>
  <c r="E104" i="41" s="1"/>
  <c r="D23" i="49"/>
  <c r="H22" i="49"/>
  <c r="K22" i="49" s="1"/>
  <c r="G20" i="5"/>
  <c r="I19" i="5"/>
  <c r="I17" i="5"/>
  <c r="G99" i="2" s="1"/>
  <c r="J174" i="2"/>
  <c r="L174" i="2" s="1"/>
  <c r="G59" i="20" s="1"/>
  <c r="I61" i="11"/>
  <c r="I63" i="11" s="1"/>
  <c r="I65" i="11" s="1"/>
  <c r="D25" i="48"/>
  <c r="E25" i="48" s="1"/>
  <c r="H25" i="48" s="1"/>
  <c r="I25" i="48" s="1"/>
  <c r="D23" i="48"/>
  <c r="E23" i="48" s="1"/>
  <c r="D27" i="48"/>
  <c r="E27" i="48" s="1"/>
  <c r="H27" i="48" s="1"/>
  <c r="I27" i="48" s="1"/>
  <c r="D26" i="48"/>
  <c r="E26" i="48" s="1"/>
  <c r="G164" i="2" s="1"/>
  <c r="G165" i="2" s="1"/>
  <c r="G167" i="2" s="1"/>
  <c r="G169" i="2" s="1"/>
  <c r="D24" i="48"/>
  <c r="E24" i="48" s="1"/>
  <c r="H24" i="48" s="1"/>
  <c r="I24" i="48" s="1"/>
  <c r="F968" i="13"/>
  <c r="D969" i="13" s="1"/>
  <c r="G23" i="38"/>
  <c r="S33" i="21"/>
  <c r="L209" i="2" s="1"/>
  <c r="G258" i="2"/>
  <c r="E77" i="41" s="1"/>
  <c r="E79" i="41" s="1"/>
  <c r="E80" i="41" s="1"/>
  <c r="E51" i="41" s="1"/>
  <c r="E56" i="41" s="1"/>
  <c r="G121" i="2"/>
  <c r="H25" i="47"/>
  <c r="K25" i="47" s="1"/>
  <c r="F26" i="47"/>
  <c r="G105" i="39"/>
  <c r="N21" i="13"/>
  <c r="P21" i="13" s="1"/>
  <c r="O2004" i="13"/>
  <c r="I26" i="5"/>
  <c r="G155" i="38"/>
  <c r="G161" i="38" s="1"/>
  <c r="G73" i="38"/>
  <c r="I35" i="5"/>
  <c r="E36" i="5"/>
  <c r="G104" i="39"/>
  <c r="I43" i="5"/>
  <c r="E44" i="5"/>
  <c r="G72" i="38"/>
  <c r="G199" i="2"/>
  <c r="L201" i="2"/>
  <c r="F39" i="20" s="1"/>
  <c r="L200" i="2"/>
  <c r="E38" i="13" s="1"/>
  <c r="G201" i="2"/>
  <c r="I27" i="5"/>
  <c r="E162" i="2"/>
  <c r="A64" i="9"/>
  <c r="A65" i="9" s="1"/>
  <c r="A66" i="9" s="1"/>
  <c r="A50" i="41"/>
  <c r="A51" i="41" s="1"/>
  <c r="A52" i="41" s="1"/>
  <c r="A53" i="41" s="1"/>
  <c r="A54" i="41" s="1"/>
  <c r="A55" i="41" s="1"/>
  <c r="A56" i="41" s="1"/>
  <c r="A26" i="5"/>
  <c r="A27" i="5" s="1"/>
  <c r="A28" i="5" s="1"/>
  <c r="A31" i="5" s="1"/>
  <c r="A33" i="5" s="1"/>
  <c r="F27" i="49"/>
  <c r="A41" i="48"/>
  <c r="E153" i="2"/>
  <c r="I41" i="5"/>
  <c r="G44" i="5"/>
  <c r="I25" i="5"/>
  <c r="G28" i="5"/>
  <c r="F27" i="50"/>
  <c r="C70" i="13"/>
  <c r="C70" i="20"/>
  <c r="D36" i="2"/>
  <c r="B36" i="2"/>
  <c r="B37" i="2" s="1"/>
  <c r="D227" i="2"/>
  <c r="D228" i="2"/>
  <c r="F581" i="13"/>
  <c r="D582" i="13" s="1"/>
  <c r="E28" i="5"/>
  <c r="I33" i="5"/>
  <c r="G36" i="5"/>
  <c r="K22" i="47"/>
  <c r="B43" i="48"/>
  <c r="G95" i="2"/>
  <c r="K57" i="11"/>
  <c r="K58" i="11" s="1"/>
  <c r="K61" i="11"/>
  <c r="K63" i="11" s="1"/>
  <c r="K65" i="11" s="1"/>
  <c r="L90" i="2"/>
  <c r="M48" i="11"/>
  <c r="G51" i="11"/>
  <c r="G61" i="11" s="1"/>
  <c r="L229" i="2"/>
  <c r="L68" i="2" s="1"/>
  <c r="E43" i="11"/>
  <c r="L184" i="2"/>
  <c r="G186" i="2"/>
  <c r="E1440" i="20"/>
  <c r="F1440" i="20" s="1"/>
  <c r="D1441" i="20" s="1"/>
  <c r="E1707" i="20"/>
  <c r="F1707" i="20" s="1"/>
  <c r="D1708" i="20" s="1"/>
  <c r="G581" i="13" l="1"/>
  <c r="A67" i="9"/>
  <c r="A68" i="9" s="1"/>
  <c r="A69" i="9" s="1"/>
  <c r="A71" i="9" s="1"/>
  <c r="E163" i="2" s="1"/>
  <c r="A52" i="11"/>
  <c r="C61" i="11"/>
  <c r="D24" i="50"/>
  <c r="H23" i="50"/>
  <c r="K23" i="50" s="1"/>
  <c r="C51" i="11"/>
  <c r="E105" i="41"/>
  <c r="L246" i="2"/>
  <c r="H23" i="49"/>
  <c r="K23" i="49" s="1"/>
  <c r="D24" i="49"/>
  <c r="H76" i="13"/>
  <c r="F59" i="13"/>
  <c r="G76" i="20"/>
  <c r="I20" i="5"/>
  <c r="L99" i="2" s="1"/>
  <c r="G968" i="13"/>
  <c r="F38" i="20"/>
  <c r="E39" i="13"/>
  <c r="H257" i="2"/>
  <c r="I257" i="2" s="1"/>
  <c r="H255" i="2"/>
  <c r="H256" i="2"/>
  <c r="I256" i="2" s="1"/>
  <c r="D22" i="20" s="1"/>
  <c r="F22" i="20" s="1"/>
  <c r="F27" i="47"/>
  <c r="H26" i="47"/>
  <c r="K26" i="47" s="1"/>
  <c r="O2005" i="13"/>
  <c r="M2005" i="13"/>
  <c r="E58" i="41"/>
  <c r="J255" i="2" s="1"/>
  <c r="L245" i="2"/>
  <c r="L231" i="2"/>
  <c r="J69" i="2" s="1"/>
  <c r="L69" i="2" s="1"/>
  <c r="B39" i="2"/>
  <c r="B42" i="2" s="1"/>
  <c r="B44" i="2" s="1"/>
  <c r="B24" i="2"/>
  <c r="D28" i="5"/>
  <c r="F28" i="50"/>
  <c r="G102" i="2"/>
  <c r="I44" i="5"/>
  <c r="L102" i="2" s="1"/>
  <c r="F582" i="13"/>
  <c r="D583" i="13" s="1"/>
  <c r="G100" i="2"/>
  <c r="I28" i="5"/>
  <c r="L100" i="2" s="1"/>
  <c r="F28" i="49"/>
  <c r="A34" i="5"/>
  <c r="A35" i="5" s="1"/>
  <c r="A36" i="5" s="1"/>
  <c r="A39" i="5" s="1"/>
  <c r="A41" i="5" s="1"/>
  <c r="D36" i="5"/>
  <c r="B58" i="41"/>
  <c r="E245" i="2"/>
  <c r="A58" i="41"/>
  <c r="G101" i="2"/>
  <c r="I36" i="5"/>
  <c r="L101" i="2" s="1"/>
  <c r="E154" i="2"/>
  <c r="A43" i="48"/>
  <c r="B56" i="41"/>
  <c r="G63" i="11"/>
  <c r="M61" i="11"/>
  <c r="J76" i="2"/>
  <c r="G75" i="20"/>
  <c r="G77" i="20" s="1"/>
  <c r="G78" i="20" s="1"/>
  <c r="G79" i="20" s="1"/>
  <c r="H75" i="13"/>
  <c r="H77" i="13" s="1"/>
  <c r="H78" i="13" s="1"/>
  <c r="H79" i="13" s="1"/>
  <c r="D1996" i="13" s="1"/>
  <c r="J1997" i="13" s="1"/>
  <c r="E2000" i="13" s="1"/>
  <c r="F2000" i="13" s="1"/>
  <c r="M51" i="11"/>
  <c r="G53" i="11"/>
  <c r="K67" i="11"/>
  <c r="K68" i="11" s="1"/>
  <c r="E1441" i="20"/>
  <c r="F1441" i="20" s="1"/>
  <c r="D1442" i="20" s="1"/>
  <c r="E1708" i="20"/>
  <c r="F1708" i="20" s="1"/>
  <c r="D1709" i="20" s="1"/>
  <c r="E969" i="13"/>
  <c r="F969" i="13" s="1"/>
  <c r="D970" i="13" s="1"/>
  <c r="D25" i="49" l="1"/>
  <c r="H24" i="49"/>
  <c r="K24" i="49" s="1"/>
  <c r="A53" i="11"/>
  <c r="C53" i="11"/>
  <c r="G582" i="13"/>
  <c r="D25" i="50"/>
  <c r="H24" i="50"/>
  <c r="K24" i="50" s="1"/>
  <c r="J235" i="2"/>
  <c r="L235" i="2" s="1"/>
  <c r="L239" i="2" s="1"/>
  <c r="L241" i="2" s="1"/>
  <c r="J175" i="2" s="1"/>
  <c r="L175" i="2" s="1"/>
  <c r="J162" i="2"/>
  <c r="L162" i="2" s="1"/>
  <c r="J149" i="2"/>
  <c r="L149" i="2" s="1"/>
  <c r="L113" i="2" s="1"/>
  <c r="J161" i="2"/>
  <c r="L161" i="2" s="1"/>
  <c r="J114" i="2"/>
  <c r="L114" i="2" s="1"/>
  <c r="D2001" i="13"/>
  <c r="E2001" i="13" s="1"/>
  <c r="G2000" i="13"/>
  <c r="I255" i="2"/>
  <c r="D21" i="13" s="1"/>
  <c r="L256" i="2"/>
  <c r="D22" i="13"/>
  <c r="F22" i="13" s="1"/>
  <c r="H27" i="47"/>
  <c r="K27" i="47" s="1"/>
  <c r="F28" i="47"/>
  <c r="L257" i="2"/>
  <c r="D23" i="20"/>
  <c r="F23" i="20" s="1"/>
  <c r="P2005" i="13"/>
  <c r="D23" i="13"/>
  <c r="F23" i="13" s="1"/>
  <c r="E21" i="13"/>
  <c r="E21" i="20"/>
  <c r="F29" i="49"/>
  <c r="F29" i="50"/>
  <c r="F583" i="13"/>
  <c r="D584" i="13" s="1"/>
  <c r="A45" i="48"/>
  <c r="A61" i="41"/>
  <c r="D255" i="2"/>
  <c r="A42" i="5"/>
  <c r="A43" i="5" s="1"/>
  <c r="A44" i="5" s="1"/>
  <c r="A47" i="5" s="1"/>
  <c r="A49" i="5" s="1"/>
  <c r="L104" i="2"/>
  <c r="B45" i="2"/>
  <c r="G104" i="2"/>
  <c r="G125" i="2" s="1"/>
  <c r="G55" i="11"/>
  <c r="M53" i="11"/>
  <c r="L91" i="2"/>
  <c r="D1049" i="13"/>
  <c r="J1050" i="13" s="1"/>
  <c r="E1053" i="13" s="1"/>
  <c r="F1053" i="13" s="1"/>
  <c r="D1135" i="13"/>
  <c r="J1136" i="13" s="1"/>
  <c r="E1139" i="13" s="1"/>
  <c r="F1139" i="13" s="1"/>
  <c r="D1479" i="13"/>
  <c r="J1480" i="13" s="1"/>
  <c r="E1483" i="13" s="1"/>
  <c r="F1483" i="13" s="1"/>
  <c r="D357" i="13"/>
  <c r="J358" i="13" s="1"/>
  <c r="E361" i="13" s="1"/>
  <c r="F361" i="13" s="1"/>
  <c r="D1737" i="13"/>
  <c r="J1738" i="13" s="1"/>
  <c r="E1741" i="13" s="1"/>
  <c r="F1741" i="13" s="1"/>
  <c r="D1823" i="13"/>
  <c r="J1824" i="13" s="1"/>
  <c r="E1827" i="13" s="1"/>
  <c r="F1827" i="13" s="1"/>
  <c r="D703" i="13"/>
  <c r="J704" i="13" s="1"/>
  <c r="E707" i="13" s="1"/>
  <c r="F707" i="13" s="1"/>
  <c r="D963" i="13"/>
  <c r="D791" i="13"/>
  <c r="J792" i="13" s="1"/>
  <c r="E795" i="13" s="1"/>
  <c r="F795" i="13" s="1"/>
  <c r="D529" i="13"/>
  <c r="J530" i="13" s="1"/>
  <c r="D443" i="13"/>
  <c r="J444" i="13" s="1"/>
  <c r="E447" i="13" s="1"/>
  <c r="F447" i="13" s="1"/>
  <c r="D1651" i="13"/>
  <c r="D1393" i="13"/>
  <c r="J1394" i="13" s="1"/>
  <c r="E1397" i="13" s="1"/>
  <c r="F1397" i="13" s="1"/>
  <c r="D271" i="13"/>
  <c r="J272" i="13" s="1"/>
  <c r="E275" i="13" s="1"/>
  <c r="F275" i="13" s="1"/>
  <c r="D1307" i="13"/>
  <c r="J1308" i="13" s="1"/>
  <c r="E1311" i="13" s="1"/>
  <c r="F1311" i="13" s="1"/>
  <c r="D615" i="13"/>
  <c r="J616" i="13" s="1"/>
  <c r="E619" i="13" s="1"/>
  <c r="F619" i="13" s="1"/>
  <c r="D1221" i="13"/>
  <c r="J1222" i="13" s="1"/>
  <c r="E1225" i="13" s="1"/>
  <c r="F1225" i="13" s="1"/>
  <c r="D98" i="13"/>
  <c r="J99" i="13" s="1"/>
  <c r="E102" i="13" s="1"/>
  <c r="F102" i="13" s="1"/>
  <c r="D185" i="13"/>
  <c r="J186" i="13" s="1"/>
  <c r="E189" i="13" s="1"/>
  <c r="F189" i="13" s="1"/>
  <c r="D1909" i="13"/>
  <c r="J1910" i="13" s="1"/>
  <c r="D1565" i="13"/>
  <c r="J1566" i="13" s="1"/>
  <c r="D877" i="13"/>
  <c r="J878" i="13" s="1"/>
  <c r="E881" i="13" s="1"/>
  <c r="F881" i="13" s="1"/>
  <c r="J117" i="2"/>
  <c r="L117" i="2" s="1"/>
  <c r="D186" i="20"/>
  <c r="I187" i="20" s="1"/>
  <c r="E190" i="20" s="1"/>
  <c r="F190" i="20" s="1"/>
  <c r="D191" i="20" s="1"/>
  <c r="E191" i="20" s="1"/>
  <c r="F191" i="20" s="1"/>
  <c r="D192" i="20" s="1"/>
  <c r="E192" i="20" s="1"/>
  <c r="F192" i="20" s="1"/>
  <c r="D193" i="20" s="1"/>
  <c r="E193" i="20" s="1"/>
  <c r="F193" i="20" s="1"/>
  <c r="D194" i="20" s="1"/>
  <c r="E194" i="20" s="1"/>
  <c r="F194" i="20" s="1"/>
  <c r="D195" i="20" s="1"/>
  <c r="D900" i="20"/>
  <c r="I901" i="20" s="1"/>
  <c r="E904" i="20" s="1"/>
  <c r="F904" i="20" s="1"/>
  <c r="D905" i="20" s="1"/>
  <c r="E905" i="20" s="1"/>
  <c r="F905" i="20" s="1"/>
  <c r="D906" i="20" s="1"/>
  <c r="D1523" i="20"/>
  <c r="I1524" i="20" s="1"/>
  <c r="E1527" i="20" s="1"/>
  <c r="F1527" i="20" s="1"/>
  <c r="D1528" i="20" s="1"/>
  <c r="D1880" i="20"/>
  <c r="I1881" i="20" s="1"/>
  <c r="E1884" i="20" s="1"/>
  <c r="F1884" i="20" s="1"/>
  <c r="D1885" i="20" s="1"/>
  <c r="E1885" i="20" s="1"/>
  <c r="F1885" i="20" s="1"/>
  <c r="D1886" i="20" s="1"/>
  <c r="D544" i="20"/>
  <c r="I545" i="20" s="1"/>
  <c r="D1345" i="20"/>
  <c r="I1346" i="20" s="1"/>
  <c r="E1349" i="20" s="1"/>
  <c r="F1349" i="20" s="1"/>
  <c r="D1350" i="20" s="1"/>
  <c r="D1167" i="20"/>
  <c r="I1168" i="20" s="1"/>
  <c r="E1171" i="20" s="1"/>
  <c r="F1171" i="20" s="1"/>
  <c r="D1172" i="20" s="1"/>
  <c r="E1172" i="20" s="1"/>
  <c r="F1172" i="20" s="1"/>
  <c r="D1173" i="20" s="1"/>
  <c r="D811" i="20"/>
  <c r="I812" i="20" s="1"/>
  <c r="E815" i="20" s="1"/>
  <c r="F815" i="20" s="1"/>
  <c r="D816" i="20" s="1"/>
  <c r="E816" i="20" s="1"/>
  <c r="F816" i="20" s="1"/>
  <c r="D817" i="20" s="1"/>
  <c r="E817" i="20" s="1"/>
  <c r="F817" i="20" s="1"/>
  <c r="D818" i="20" s="1"/>
  <c r="E818" i="20" s="1"/>
  <c r="F818" i="20" s="1"/>
  <c r="D819" i="20" s="1"/>
  <c r="D1256" i="20"/>
  <c r="I1257" i="20" s="1"/>
  <c r="E1260" i="20" s="1"/>
  <c r="F1260" i="20" s="1"/>
  <c r="D1261" i="20" s="1"/>
  <c r="D455" i="20"/>
  <c r="I456" i="20" s="1"/>
  <c r="E459" i="20" s="1"/>
  <c r="F459" i="20" s="1"/>
  <c r="D460" i="20" s="1"/>
  <c r="E460" i="20" s="1"/>
  <c r="F460" i="20" s="1"/>
  <c r="D461" i="20" s="1"/>
  <c r="E461" i="20" s="1"/>
  <c r="F461" i="20" s="1"/>
  <c r="D462" i="20" s="1"/>
  <c r="E462" i="20" s="1"/>
  <c r="F462" i="20" s="1"/>
  <c r="D463" i="20" s="1"/>
  <c r="D366" i="20"/>
  <c r="I367" i="20" s="1"/>
  <c r="E370" i="20" s="1"/>
  <c r="F370" i="20" s="1"/>
  <c r="D371" i="20" s="1"/>
  <c r="D96" i="20"/>
  <c r="I97" i="20" s="1"/>
  <c r="E100" i="20" s="1"/>
  <c r="F100" i="20" s="1"/>
  <c r="D101" i="20" s="1"/>
  <c r="D1612" i="20"/>
  <c r="I1613" i="20" s="1"/>
  <c r="E1616" i="20" s="1"/>
  <c r="F1616" i="20" s="1"/>
  <c r="D1617" i="20" s="1"/>
  <c r="D1701" i="20"/>
  <c r="D276" i="20"/>
  <c r="I277" i="20" s="1"/>
  <c r="E280" i="20" s="1"/>
  <c r="F280" i="20" s="1"/>
  <c r="D281" i="20" s="1"/>
  <c r="E281" i="20" s="1"/>
  <c r="F281" i="20" s="1"/>
  <c r="D282" i="20" s="1"/>
  <c r="D1434" i="20"/>
  <c r="D633" i="20"/>
  <c r="I634" i="20" s="1"/>
  <c r="E637" i="20" s="1"/>
  <c r="F637" i="20" s="1"/>
  <c r="D638" i="20" s="1"/>
  <c r="E638" i="20" s="1"/>
  <c r="F638" i="20" s="1"/>
  <c r="D639" i="20" s="1"/>
  <c r="E639" i="20" s="1"/>
  <c r="F639" i="20" s="1"/>
  <c r="D640" i="20" s="1"/>
  <c r="E640" i="20" s="1"/>
  <c r="F640" i="20" s="1"/>
  <c r="D641" i="20" s="1"/>
  <c r="D1078" i="20"/>
  <c r="I1079" i="20" s="1"/>
  <c r="E1082" i="20" s="1"/>
  <c r="F1082" i="20" s="1"/>
  <c r="D1083" i="20" s="1"/>
  <c r="D1791" i="20"/>
  <c r="I1792" i="20" s="1"/>
  <c r="E1795" i="20" s="1"/>
  <c r="F1795" i="20" s="1"/>
  <c r="D1796" i="20" s="1"/>
  <c r="D722" i="20"/>
  <c r="I723" i="20" s="1"/>
  <c r="E726" i="20" s="1"/>
  <c r="F726" i="20" s="1"/>
  <c r="D727" i="20" s="1"/>
  <c r="E727" i="20" s="1"/>
  <c r="F727" i="20" s="1"/>
  <c r="D728" i="20" s="1"/>
  <c r="D989" i="20"/>
  <c r="I990" i="20" s="1"/>
  <c r="E993" i="20" s="1"/>
  <c r="F993" i="20" s="1"/>
  <c r="D994" i="20" s="1"/>
  <c r="D1969" i="20"/>
  <c r="I1970" i="20" s="1"/>
  <c r="E1973" i="20" s="1"/>
  <c r="F1973" i="20" s="1"/>
  <c r="D1974" i="20" s="1"/>
  <c r="E1974" i="20" s="1"/>
  <c r="F1974" i="20" s="1"/>
  <c r="D1975" i="20" s="1"/>
  <c r="E1975" i="20" s="1"/>
  <c r="F1975" i="20" s="1"/>
  <c r="D1976" i="20" s="1"/>
  <c r="E1976" i="20" s="1"/>
  <c r="G65" i="11"/>
  <c r="M63" i="11"/>
  <c r="E1442" i="20"/>
  <c r="F1442" i="20" s="1"/>
  <c r="D1443" i="20" s="1"/>
  <c r="E970" i="13"/>
  <c r="F970" i="13" s="1"/>
  <c r="D971" i="13" s="1"/>
  <c r="E1709" i="20"/>
  <c r="F1709" i="20" s="1"/>
  <c r="D1710" i="20" s="1"/>
  <c r="G969" i="13"/>
  <c r="J176" i="2" l="1"/>
  <c r="L176" i="2" s="1"/>
  <c r="A54" i="11"/>
  <c r="A55" i="11" s="1"/>
  <c r="C55" i="11"/>
  <c r="J86" i="2"/>
  <c r="L86" i="2" s="1"/>
  <c r="D26" i="50"/>
  <c r="H25" i="50"/>
  <c r="K25" i="50" s="1"/>
  <c r="J164" i="2"/>
  <c r="L164" i="2" s="1"/>
  <c r="G583" i="13"/>
  <c r="D26" i="49"/>
  <c r="H25" i="49"/>
  <c r="K25" i="49" s="1"/>
  <c r="J115" i="2"/>
  <c r="L115" i="2" s="1"/>
  <c r="J73" i="2"/>
  <c r="L73" i="2" s="1"/>
  <c r="J72" i="2"/>
  <c r="L72" i="2" s="1"/>
  <c r="J110" i="2"/>
  <c r="L110" i="2" s="1"/>
  <c r="J74" i="2"/>
  <c r="L74" i="2" s="1"/>
  <c r="L94" i="2" s="1"/>
  <c r="J181" i="2"/>
  <c r="L181" i="2" s="1"/>
  <c r="J84" i="2"/>
  <c r="L84" i="2" s="1"/>
  <c r="J159" i="2"/>
  <c r="L159" i="2" s="1"/>
  <c r="J85" i="2"/>
  <c r="L85" i="2" s="1"/>
  <c r="D21" i="20"/>
  <c r="F21" i="20" s="1"/>
  <c r="F24" i="20" s="1"/>
  <c r="F29" i="20" s="1"/>
  <c r="L255" i="2"/>
  <c r="L258" i="2" s="1"/>
  <c r="G190" i="2" s="1"/>
  <c r="E35" i="13" s="1"/>
  <c r="E1913" i="13"/>
  <c r="F1913" i="13" s="1"/>
  <c r="G1913" i="13" s="1"/>
  <c r="H28" i="47"/>
  <c r="K28" i="47" s="1"/>
  <c r="F29" i="47"/>
  <c r="F21" i="13"/>
  <c r="F24" i="13" s="1"/>
  <c r="E29" i="13" s="1"/>
  <c r="B46" i="2"/>
  <c r="B48" i="2" s="1"/>
  <c r="B66" i="2" s="1"/>
  <c r="D303" i="2"/>
  <c r="F30" i="50"/>
  <c r="L177" i="2"/>
  <c r="A50" i="5"/>
  <c r="A51" i="5" s="1"/>
  <c r="A52" i="5" s="1"/>
  <c r="A47" i="48"/>
  <c r="C21" i="48" s="1"/>
  <c r="E155" i="2"/>
  <c r="F30" i="49"/>
  <c r="D63" i="41"/>
  <c r="A64" i="41"/>
  <c r="F584" i="13"/>
  <c r="D585" i="13" s="1"/>
  <c r="E48" i="2"/>
  <c r="D44" i="5"/>
  <c r="B47" i="48"/>
  <c r="F1976" i="20"/>
  <c r="D1977" i="20" s="1"/>
  <c r="E1977" i="20" s="1"/>
  <c r="F1977" i="20" s="1"/>
  <c r="D1978" i="20" s="1"/>
  <c r="E1083" i="20"/>
  <c r="F1083" i="20" s="1"/>
  <c r="D1084" i="20" s="1"/>
  <c r="E1350" i="20"/>
  <c r="F1350" i="20" s="1"/>
  <c r="D1351" i="20" s="1"/>
  <c r="E1351" i="20" s="1"/>
  <c r="F1351" i="20" s="1"/>
  <c r="D1352" i="20" s="1"/>
  <c r="E906" i="20"/>
  <c r="F906" i="20" s="1"/>
  <c r="D907" i="20" s="1"/>
  <c r="D620" i="13"/>
  <c r="E620" i="13" s="1"/>
  <c r="G619" i="13"/>
  <c r="D362" i="13"/>
  <c r="G361" i="13"/>
  <c r="F64" i="13"/>
  <c r="G64" i="20"/>
  <c r="E994" i="20"/>
  <c r="F994" i="20" s="1"/>
  <c r="D995" i="20" s="1"/>
  <c r="E1617" i="20"/>
  <c r="F1617" i="20" s="1"/>
  <c r="D1618" i="20" s="1"/>
  <c r="E1618" i="20" s="1"/>
  <c r="F1618" i="20" s="1"/>
  <c r="D1619" i="20" s="1"/>
  <c r="E1261" i="20"/>
  <c r="F1261" i="20" s="1"/>
  <c r="D1262" i="20" s="1"/>
  <c r="E553" i="20"/>
  <c r="E579" i="20"/>
  <c r="E570" i="20"/>
  <c r="E566" i="20"/>
  <c r="E587" i="20"/>
  <c r="E576" i="20"/>
  <c r="E591" i="20"/>
  <c r="E560" i="20"/>
  <c r="E568" i="20"/>
  <c r="E580" i="20"/>
  <c r="E590" i="20"/>
  <c r="E575" i="20"/>
  <c r="E549" i="20"/>
  <c r="E571" i="20"/>
  <c r="E552" i="20"/>
  <c r="E555" i="20"/>
  <c r="E557" i="20"/>
  <c r="E578" i="20"/>
  <c r="E583" i="20"/>
  <c r="E588" i="20"/>
  <c r="E589" i="20"/>
  <c r="E563" i="20"/>
  <c r="E585" i="20"/>
  <c r="E573" i="20"/>
  <c r="E584" i="20"/>
  <c r="E554" i="20"/>
  <c r="E582" i="20"/>
  <c r="E562" i="20"/>
  <c r="E586" i="20"/>
  <c r="E567" i="20"/>
  <c r="E574" i="20"/>
  <c r="E572" i="20"/>
  <c r="E550" i="20"/>
  <c r="E561" i="20"/>
  <c r="E548" i="20"/>
  <c r="F548" i="20" s="1"/>
  <c r="D549" i="20" s="1"/>
  <c r="E581" i="20"/>
  <c r="E558" i="20"/>
  <c r="E577" i="20"/>
  <c r="E569" i="20"/>
  <c r="E565" i="20"/>
  <c r="E551" i="20"/>
  <c r="E564" i="20"/>
  <c r="E556" i="20"/>
  <c r="E559" i="20"/>
  <c r="G189" i="13"/>
  <c r="D190" i="13"/>
  <c r="E190" i="13" s="1"/>
  <c r="D1312" i="13"/>
  <c r="E1312" i="13" s="1"/>
  <c r="G1311" i="13"/>
  <c r="G447" i="13"/>
  <c r="D448" i="13"/>
  <c r="G707" i="13"/>
  <c r="D708" i="13"/>
  <c r="E708" i="13" s="1"/>
  <c r="G1483" i="13"/>
  <c r="D1484" i="13"/>
  <c r="E728" i="20"/>
  <c r="F728" i="20" s="1"/>
  <c r="D729" i="20" s="1"/>
  <c r="E101" i="20"/>
  <c r="F101" i="20" s="1"/>
  <c r="D102" i="20" s="1"/>
  <c r="E1886" i="20"/>
  <c r="F1886" i="20" s="1"/>
  <c r="D1887" i="20" s="1"/>
  <c r="E1887" i="20" s="1"/>
  <c r="F1887" i="20" s="1"/>
  <c r="D1888" i="20" s="1"/>
  <c r="E1888" i="20" s="1"/>
  <c r="D882" i="13"/>
  <c r="E882" i="13" s="1"/>
  <c r="F882" i="13" s="1"/>
  <c r="G881" i="13"/>
  <c r="G102" i="13"/>
  <c r="D103" i="13"/>
  <c r="E103" i="13" s="1"/>
  <c r="G275" i="13"/>
  <c r="D276" i="13"/>
  <c r="E533" i="13"/>
  <c r="E549" i="13"/>
  <c r="E535" i="13"/>
  <c r="E539" i="13"/>
  <c r="E566" i="13"/>
  <c r="E534" i="13"/>
  <c r="E570" i="13"/>
  <c r="E565" i="13"/>
  <c r="E547" i="13"/>
  <c r="E571" i="13"/>
  <c r="E551" i="13"/>
  <c r="E556" i="13"/>
  <c r="E558" i="13"/>
  <c r="E554" i="13"/>
  <c r="E572" i="13"/>
  <c r="E536" i="13"/>
  <c r="E550" i="13"/>
  <c r="E540" i="13"/>
  <c r="E577" i="13"/>
  <c r="E562" i="13"/>
  <c r="E575" i="13"/>
  <c r="E568" i="13"/>
  <c r="E543" i="13"/>
  <c r="E573" i="13"/>
  <c r="E576" i="13"/>
  <c r="E564" i="13"/>
  <c r="E567" i="13"/>
  <c r="E548" i="13"/>
  <c r="E542" i="13"/>
  <c r="E538" i="13"/>
  <c r="E537" i="13"/>
  <c r="E569" i="13"/>
  <c r="E541" i="13"/>
  <c r="E560" i="13"/>
  <c r="E574" i="13"/>
  <c r="E557" i="13"/>
  <c r="E561" i="13"/>
  <c r="E546" i="13"/>
  <c r="E544" i="13"/>
  <c r="E552" i="13"/>
  <c r="E545" i="13"/>
  <c r="E555" i="13"/>
  <c r="E559" i="13"/>
  <c r="E563" i="13"/>
  <c r="E553" i="13"/>
  <c r="D1828" i="13"/>
  <c r="G1827" i="13"/>
  <c r="D1140" i="13"/>
  <c r="G1139" i="13"/>
  <c r="E66" i="11"/>
  <c r="E67" i="11" s="1"/>
  <c r="G66" i="11"/>
  <c r="G67" i="11" s="1"/>
  <c r="G68" i="11" s="1"/>
  <c r="I66" i="11"/>
  <c r="I67" i="11" s="1"/>
  <c r="I68" i="11" s="1"/>
  <c r="E1796" i="20"/>
  <c r="F1796" i="20" s="1"/>
  <c r="D1797" i="20" s="1"/>
  <c r="E282" i="20"/>
  <c r="F282" i="20" s="1"/>
  <c r="D283" i="20" s="1"/>
  <c r="E371" i="20"/>
  <c r="F371" i="20" s="1"/>
  <c r="D372" i="20" s="1"/>
  <c r="E1173" i="20"/>
  <c r="F1173" i="20" s="1"/>
  <c r="D1174" i="20" s="1"/>
  <c r="E1528" i="20"/>
  <c r="F1528" i="20" s="1"/>
  <c r="D1529" i="20" s="1"/>
  <c r="E1569" i="13"/>
  <c r="F1569" i="13" s="1"/>
  <c r="E1656" i="13"/>
  <c r="F1656" i="13" s="1"/>
  <c r="G1225" i="13"/>
  <c r="D1226" i="13"/>
  <c r="G1397" i="13"/>
  <c r="D1398" i="13"/>
  <c r="E1398" i="13" s="1"/>
  <c r="F1398" i="13" s="1"/>
  <c r="D1399" i="13" s="1"/>
  <c r="D796" i="13"/>
  <c r="E796" i="13" s="1"/>
  <c r="G795" i="13"/>
  <c r="D1742" i="13"/>
  <c r="G1741" i="13"/>
  <c r="G1053" i="13"/>
  <c r="D1054" i="13"/>
  <c r="E56" i="11"/>
  <c r="E57" i="11" s="1"/>
  <c r="G56" i="11"/>
  <c r="G57" i="11" s="1"/>
  <c r="G58" i="11" s="1"/>
  <c r="I56" i="11"/>
  <c r="I57" i="11" s="1"/>
  <c r="I58" i="11" s="1"/>
  <c r="E195" i="20"/>
  <c r="F195" i="20" s="1"/>
  <c r="D196" i="20" s="1"/>
  <c r="E1443" i="20"/>
  <c r="F1443" i="20" s="1"/>
  <c r="D1444" i="20" s="1"/>
  <c r="E819" i="20"/>
  <c r="F819" i="20" s="1"/>
  <c r="D820" i="20" s="1"/>
  <c r="E971" i="13"/>
  <c r="F971" i="13" s="1"/>
  <c r="E463" i="20"/>
  <c r="F463" i="20" s="1"/>
  <c r="D464" i="20" s="1"/>
  <c r="E641" i="20"/>
  <c r="F641" i="20" s="1"/>
  <c r="D642" i="20" s="1"/>
  <c r="E1710" i="20"/>
  <c r="F1710" i="20" s="1"/>
  <c r="D1711" i="20" s="1"/>
  <c r="F796" i="13"/>
  <c r="G970" i="13"/>
  <c r="L87" i="2" l="1"/>
  <c r="A56" i="11"/>
  <c r="C56" i="11"/>
  <c r="L75" i="2"/>
  <c r="J75" i="2" s="1"/>
  <c r="J116" i="2" s="1"/>
  <c r="L116" i="2" s="1"/>
  <c r="D27" i="49"/>
  <c r="H26" i="49"/>
  <c r="K26" i="49" s="1"/>
  <c r="D27" i="50"/>
  <c r="H26" i="50"/>
  <c r="K26" i="50" s="1"/>
  <c r="F190" i="13"/>
  <c r="D1914" i="13"/>
  <c r="L93" i="2"/>
  <c r="L95" i="2" s="1"/>
  <c r="J95" i="2" s="1"/>
  <c r="G205" i="2"/>
  <c r="G198" i="2" s="1"/>
  <c r="G203" i="2" s="1"/>
  <c r="G211" i="2"/>
  <c r="L211" i="2"/>
  <c r="F35" i="20"/>
  <c r="F103" i="13"/>
  <c r="D104" i="13" s="1"/>
  <c r="F620" i="13"/>
  <c r="G620" i="13" s="1"/>
  <c r="H29" i="47"/>
  <c r="K29" i="47" s="1"/>
  <c r="F30" i="47"/>
  <c r="F585" i="13"/>
  <c r="D586" i="13" s="1"/>
  <c r="F31" i="49"/>
  <c r="D51" i="5"/>
  <c r="F1312" i="13"/>
  <c r="D1313" i="13" s="1"/>
  <c r="F549" i="20"/>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G584" i="13"/>
  <c r="B67" i="2"/>
  <c r="B68" i="2" s="1"/>
  <c r="F708" i="13"/>
  <c r="D709" i="13" s="1"/>
  <c r="A65" i="41"/>
  <c r="A66" i="41" s="1"/>
  <c r="A67" i="41" s="1"/>
  <c r="A68" i="41" s="1"/>
  <c r="A69" i="41" s="1"/>
  <c r="A70" i="41" s="1"/>
  <c r="A71" i="41" s="1"/>
  <c r="A72" i="41" s="1"/>
  <c r="A73" i="41" s="1"/>
  <c r="A74" i="41" s="1"/>
  <c r="F31" i="50"/>
  <c r="D972" i="13"/>
  <c r="E972" i="13" s="1"/>
  <c r="F972" i="13" s="1"/>
  <c r="G971" i="13"/>
  <c r="G1398" i="13"/>
  <c r="E1174" i="20"/>
  <c r="F1174" i="20" s="1"/>
  <c r="D1175" i="20" s="1"/>
  <c r="E1797" i="20"/>
  <c r="F1797" i="20" s="1"/>
  <c r="D1798" i="20" s="1"/>
  <c r="E1798" i="20" s="1"/>
  <c r="F1798" i="20" s="1"/>
  <c r="D1799" i="20" s="1"/>
  <c r="E1529" i="20"/>
  <c r="F1529" i="20" s="1"/>
  <c r="D1530" i="20" s="1"/>
  <c r="E1530" i="20" s="1"/>
  <c r="F1530" i="20" s="1"/>
  <c r="D1531" i="20" s="1"/>
  <c r="E372" i="20"/>
  <c r="F372" i="20" s="1"/>
  <c r="D373" i="20" s="1"/>
  <c r="E102" i="20"/>
  <c r="F102" i="20" s="1"/>
  <c r="D103" i="20" s="1"/>
  <c r="E729" i="20"/>
  <c r="F729" i="20" s="1"/>
  <c r="D730" i="20" s="1"/>
  <c r="E1084" i="20"/>
  <c r="F1084" i="20" s="1"/>
  <c r="D1085" i="20" s="1"/>
  <c r="G1569" i="13"/>
  <c r="D1570" i="13"/>
  <c r="E1828" i="13"/>
  <c r="F1828" i="13" s="1"/>
  <c r="E1619" i="20"/>
  <c r="F1619" i="20" s="1"/>
  <c r="D1620" i="20" s="1"/>
  <c r="E1620" i="20" s="1"/>
  <c r="F1620" i="20" s="1"/>
  <c r="D1621" i="20" s="1"/>
  <c r="E1621" i="20" s="1"/>
  <c r="F1621" i="20" s="1"/>
  <c r="D1622" i="20" s="1"/>
  <c r="E1352" i="20"/>
  <c r="F1352" i="20" s="1"/>
  <c r="D1353" i="20" s="1"/>
  <c r="E1353" i="20" s="1"/>
  <c r="F1353" i="20" s="1"/>
  <c r="D1354" i="20" s="1"/>
  <c r="F1888" i="20"/>
  <c r="D1889" i="20" s="1"/>
  <c r="E1889" i="20" s="1"/>
  <c r="F1889" i="20" s="1"/>
  <c r="D1890" i="20" s="1"/>
  <c r="E1054" i="13"/>
  <c r="F1054" i="13" s="1"/>
  <c r="E1226" i="13"/>
  <c r="F1226" i="13" s="1"/>
  <c r="D1227" i="13" s="1"/>
  <c r="E283" i="20"/>
  <c r="F283" i="20" s="1"/>
  <c r="D284" i="20" s="1"/>
  <c r="E593" i="13"/>
  <c r="F533" i="13"/>
  <c r="E1742" i="13"/>
  <c r="F1742" i="13" s="1"/>
  <c r="M67" i="11"/>
  <c r="E68" i="11"/>
  <c r="E1914" i="13"/>
  <c r="F1914" i="13" s="1"/>
  <c r="D1915" i="13" s="1"/>
  <c r="E1915" i="13" s="1"/>
  <c r="F1915" i="13" s="1"/>
  <c r="D1916" i="13" s="1"/>
  <c r="E1140" i="13"/>
  <c r="F1140" i="13" s="1"/>
  <c r="D1141" i="13" s="1"/>
  <c r="E276" i="13"/>
  <c r="F276" i="13" s="1"/>
  <c r="J199" i="2"/>
  <c r="L199" i="2" s="1"/>
  <c r="E1262" i="20"/>
  <c r="F1262" i="20" s="1"/>
  <c r="D1263" i="20" s="1"/>
  <c r="E995" i="20"/>
  <c r="F995" i="20" s="1"/>
  <c r="D996" i="20" s="1"/>
  <c r="E996" i="20" s="1"/>
  <c r="F996" i="20" s="1"/>
  <c r="D997" i="20" s="1"/>
  <c r="E907" i="20"/>
  <c r="F907" i="20" s="1"/>
  <c r="D908" i="20" s="1"/>
  <c r="E58" i="11"/>
  <c r="M57" i="11"/>
  <c r="E362" i="13"/>
  <c r="F362" i="13" s="1"/>
  <c r="G1656" i="13"/>
  <c r="D1657" i="13"/>
  <c r="E1657" i="13" s="1"/>
  <c r="F1657" i="13" s="1"/>
  <c r="D1658" i="13" s="1"/>
  <c r="E1484" i="13"/>
  <c r="F1484" i="13" s="1"/>
  <c r="E448" i="13"/>
  <c r="F448" i="13" s="1"/>
  <c r="E642" i="20"/>
  <c r="F642" i="20" s="1"/>
  <c r="D643" i="20" s="1"/>
  <c r="E196" i="20"/>
  <c r="F196" i="20" s="1"/>
  <c r="D197" i="20" s="1"/>
  <c r="E1978" i="20"/>
  <c r="F1978" i="20" s="1"/>
  <c r="D1979" i="20" s="1"/>
  <c r="E820" i="20"/>
  <c r="F820" i="20" s="1"/>
  <c r="D821" i="20" s="1"/>
  <c r="E464" i="20"/>
  <c r="F464" i="20" s="1"/>
  <c r="D465" i="20" s="1"/>
  <c r="D883" i="13"/>
  <c r="G882" i="13"/>
  <c r="D621" i="13"/>
  <c r="E1711" i="20"/>
  <c r="F1711" i="20" s="1"/>
  <c r="D1712" i="20" s="1"/>
  <c r="E1444" i="20"/>
  <c r="F1444" i="20" s="1"/>
  <c r="D1445" i="20" s="1"/>
  <c r="G1312" i="13"/>
  <c r="D191" i="13"/>
  <c r="G190" i="13"/>
  <c r="D797" i="13"/>
  <c r="G796" i="13"/>
  <c r="E1399" i="13"/>
  <c r="F1399" i="13" s="1"/>
  <c r="D28" i="50" l="1"/>
  <c r="H27" i="50"/>
  <c r="K27" i="50" s="1"/>
  <c r="J185" i="2"/>
  <c r="L185" i="2" s="1"/>
  <c r="J160" i="2"/>
  <c r="L160" i="2" s="1"/>
  <c r="L165" i="2" s="1"/>
  <c r="L167" i="2" s="1"/>
  <c r="L169" i="2" s="1"/>
  <c r="J118" i="2"/>
  <c r="L118" i="2" s="1"/>
  <c r="A57" i="11"/>
  <c r="C57" i="11"/>
  <c r="D28" i="49"/>
  <c r="H27" i="49"/>
  <c r="K27" i="49" s="1"/>
  <c r="G103" i="13"/>
  <c r="G708" i="13"/>
  <c r="G213" i="2"/>
  <c r="E1141" i="13"/>
  <c r="F1141" i="13" s="1"/>
  <c r="F31" i="47"/>
  <c r="H30" i="47"/>
  <c r="K30" i="47" s="1"/>
  <c r="A76" i="41"/>
  <c r="B50" i="41"/>
  <c r="F32" i="50"/>
  <c r="B76" i="41"/>
  <c r="B69" i="2"/>
  <c r="B70" i="2" s="1"/>
  <c r="E226" i="2"/>
  <c r="C75" i="13"/>
  <c r="C75" i="20"/>
  <c r="F586" i="13"/>
  <c r="D587" i="13" s="1"/>
  <c r="F32" i="49"/>
  <c r="G585" i="13"/>
  <c r="G1140" i="13"/>
  <c r="E1263" i="20"/>
  <c r="F1263" i="20" s="1"/>
  <c r="D1264" i="20" s="1"/>
  <c r="E1354" i="20"/>
  <c r="F1354" i="20" s="1"/>
  <c r="D1355" i="20" s="1"/>
  <c r="E1355" i="20" s="1"/>
  <c r="F1355" i="20" s="1"/>
  <c r="D1356" i="20" s="1"/>
  <c r="E730" i="20"/>
  <c r="F730" i="20" s="1"/>
  <c r="D731" i="20" s="1"/>
  <c r="E1531" i="20"/>
  <c r="F1531" i="20" s="1"/>
  <c r="D1532" i="20" s="1"/>
  <c r="E1532" i="20" s="1"/>
  <c r="F1532" i="20" s="1"/>
  <c r="D1533" i="20" s="1"/>
  <c r="D449" i="13"/>
  <c r="G448" i="13"/>
  <c r="D363" i="13"/>
  <c r="G362" i="13"/>
  <c r="D1055" i="13"/>
  <c r="G1054" i="13"/>
  <c r="D1400" i="13"/>
  <c r="E1400" i="13" s="1"/>
  <c r="G1399" i="13"/>
  <c r="D1485" i="13"/>
  <c r="G1484" i="13"/>
  <c r="D277" i="13"/>
  <c r="G276" i="13"/>
  <c r="D1743" i="13"/>
  <c r="G1742" i="13"/>
  <c r="D1829" i="13"/>
  <c r="G1828" i="13"/>
  <c r="E373" i="20"/>
  <c r="F373" i="20" s="1"/>
  <c r="D374" i="20" s="1"/>
  <c r="E374" i="20" s="1"/>
  <c r="F374" i="20" s="1"/>
  <c r="D375" i="20" s="1"/>
  <c r="E375" i="20" s="1"/>
  <c r="F375" i="20" s="1"/>
  <c r="D376" i="20" s="1"/>
  <c r="E376" i="20" s="1"/>
  <c r="F376" i="20" s="1"/>
  <c r="D377" i="20" s="1"/>
  <c r="E1175" i="20"/>
  <c r="F1175" i="20" s="1"/>
  <c r="D1176" i="20" s="1"/>
  <c r="E997" i="20"/>
  <c r="F997" i="20" s="1"/>
  <c r="D998" i="20" s="1"/>
  <c r="E998" i="20" s="1"/>
  <c r="F998" i="20" s="1"/>
  <c r="D999" i="20" s="1"/>
  <c r="E1227" i="13"/>
  <c r="F1227" i="13" s="1"/>
  <c r="D1228" i="13" s="1"/>
  <c r="E1228" i="13" s="1"/>
  <c r="E1085" i="20"/>
  <c r="F1085" i="20" s="1"/>
  <c r="D1086" i="20" s="1"/>
  <c r="G1914" i="13"/>
  <c r="E1799" i="20"/>
  <c r="F1799" i="20" s="1"/>
  <c r="D1800" i="20" s="1"/>
  <c r="E1800" i="20" s="1"/>
  <c r="F1800" i="20" s="1"/>
  <c r="D1801" i="20" s="1"/>
  <c r="G1915" i="13"/>
  <c r="G1657" i="13"/>
  <c r="M58" i="11"/>
  <c r="E59" i="11" s="1"/>
  <c r="L121" i="2"/>
  <c r="L125" i="2" s="1"/>
  <c r="E284" i="20"/>
  <c r="F284" i="20" s="1"/>
  <c r="D285" i="20" s="1"/>
  <c r="E1570" i="13"/>
  <c r="F1570" i="13" s="1"/>
  <c r="D1571" i="13" s="1"/>
  <c r="E103" i="20"/>
  <c r="F103" i="20" s="1"/>
  <c r="D104" i="20" s="1"/>
  <c r="E104" i="20" s="1"/>
  <c r="F104" i="20" s="1"/>
  <c r="D105" i="20" s="1"/>
  <c r="F37" i="20"/>
  <c r="E37" i="13"/>
  <c r="M68" i="11"/>
  <c r="E69" i="11" s="1"/>
  <c r="G533" i="13"/>
  <c r="D534" i="13"/>
  <c r="E908" i="20"/>
  <c r="F908" i="20" s="1"/>
  <c r="D909" i="20" s="1"/>
  <c r="G1226" i="13"/>
  <c r="E1890" i="20"/>
  <c r="F1890" i="20" s="1"/>
  <c r="D1891" i="20" s="1"/>
  <c r="E643" i="20"/>
  <c r="F643" i="20" s="1"/>
  <c r="D644" i="20" s="1"/>
  <c r="D973" i="13"/>
  <c r="G972" i="13"/>
  <c r="E1712" i="20"/>
  <c r="F1712" i="20" s="1"/>
  <c r="D1713" i="20" s="1"/>
  <c r="E797" i="13"/>
  <c r="F797" i="13" s="1"/>
  <c r="D798" i="13" s="1"/>
  <c r="E1313" i="13"/>
  <c r="E1445" i="20"/>
  <c r="F1445" i="20" s="1"/>
  <c r="D1446" i="20" s="1"/>
  <c r="E621" i="13"/>
  <c r="E465" i="20"/>
  <c r="F465" i="20" s="1"/>
  <c r="D466" i="20" s="1"/>
  <c r="E821" i="20"/>
  <c r="F821" i="20" s="1"/>
  <c r="D822" i="20" s="1"/>
  <c r="E709" i="13"/>
  <c r="F709" i="13" s="1"/>
  <c r="E191" i="13"/>
  <c r="E1979" i="20"/>
  <c r="F1979" i="20" s="1"/>
  <c r="D1980" i="20" s="1"/>
  <c r="E197" i="20"/>
  <c r="F197" i="20" s="1"/>
  <c r="D198" i="20" s="1"/>
  <c r="E1622" i="20"/>
  <c r="F1622" i="20" s="1"/>
  <c r="D1623" i="20" s="1"/>
  <c r="E104" i="13"/>
  <c r="F104" i="13" s="1"/>
  <c r="D105" i="13" s="1"/>
  <c r="E883" i="13"/>
  <c r="F883" i="13" s="1"/>
  <c r="E1916" i="13"/>
  <c r="E1658" i="13"/>
  <c r="F1658" i="13" s="1"/>
  <c r="D1659" i="13" s="1"/>
  <c r="D29" i="49" l="1"/>
  <c r="H28" i="49"/>
  <c r="K28" i="49" s="1"/>
  <c r="C58" i="11"/>
  <c r="A58" i="11"/>
  <c r="D29" i="50"/>
  <c r="H28" i="50"/>
  <c r="K28" i="50" s="1"/>
  <c r="G1141" i="13"/>
  <c r="D1142" i="13"/>
  <c r="F32" i="47"/>
  <c r="H31" i="47"/>
  <c r="K31" i="47" s="1"/>
  <c r="G586" i="13"/>
  <c r="F39" i="50"/>
  <c r="F36" i="50"/>
  <c r="G587" i="13"/>
  <c r="F587" i="13"/>
  <c r="D588" i="13" s="1"/>
  <c r="F1400" i="13"/>
  <c r="D1401" i="13" s="1"/>
  <c r="E1401" i="13" s="1"/>
  <c r="F1401" i="13" s="1"/>
  <c r="F39" i="49"/>
  <c r="F36" i="49"/>
  <c r="B71" i="2"/>
  <c r="B72" i="2" s="1"/>
  <c r="A77" i="41"/>
  <c r="A78" i="41" s="1"/>
  <c r="A79" i="41" s="1"/>
  <c r="A80" i="41" s="1"/>
  <c r="B80" i="41"/>
  <c r="E1176" i="20"/>
  <c r="F1176" i="20" s="1"/>
  <c r="D1177" i="20" s="1"/>
  <c r="E1177" i="20" s="1"/>
  <c r="F1177" i="20" s="1"/>
  <c r="D1178" i="20" s="1"/>
  <c r="E1178" i="20" s="1"/>
  <c r="F1178" i="20" s="1"/>
  <c r="D1179" i="20" s="1"/>
  <c r="E285" i="20"/>
  <c r="F285" i="20" s="1"/>
  <c r="D286" i="20" s="1"/>
  <c r="E731" i="20"/>
  <c r="F731" i="20" s="1"/>
  <c r="D732" i="20" s="1"/>
  <c r="E732" i="20" s="1"/>
  <c r="F732" i="20" s="1"/>
  <c r="D733" i="20" s="1"/>
  <c r="E733" i="20" s="1"/>
  <c r="F733" i="20" s="1"/>
  <c r="D734" i="20" s="1"/>
  <c r="E105" i="20"/>
  <c r="F105" i="20" s="1"/>
  <c r="D106" i="20" s="1"/>
  <c r="E1801" i="20"/>
  <c r="F1801" i="20" s="1"/>
  <c r="D1802" i="20" s="1"/>
  <c r="E1086" i="20"/>
  <c r="F1086" i="20" s="1"/>
  <c r="D1087" i="20" s="1"/>
  <c r="D884" i="13"/>
  <c r="E884" i="13" s="1"/>
  <c r="F884" i="13" s="1"/>
  <c r="D885" i="13" s="1"/>
  <c r="G883" i="13"/>
  <c r="D710" i="13"/>
  <c r="E710" i="13" s="1"/>
  <c r="F710" i="13" s="1"/>
  <c r="G709" i="13"/>
  <c r="E999" i="20"/>
  <c r="F999" i="20" s="1"/>
  <c r="D1000" i="20" s="1"/>
  <c r="E1000" i="20" s="1"/>
  <c r="F1000" i="20" s="1"/>
  <c r="D1001" i="20" s="1"/>
  <c r="E1264" i="20"/>
  <c r="F1264" i="20" s="1"/>
  <c r="D1265" i="20" s="1"/>
  <c r="F534" i="13"/>
  <c r="D535" i="13" s="1"/>
  <c r="E1533" i="20"/>
  <c r="F1533" i="20" s="1"/>
  <c r="D1534" i="20" s="1"/>
  <c r="F1228" i="13"/>
  <c r="G1228" i="13" s="1"/>
  <c r="G1570" i="13"/>
  <c r="E1829" i="13"/>
  <c r="F1829" i="13" s="1"/>
  <c r="E277" i="13"/>
  <c r="F277" i="13" s="1"/>
  <c r="D278" i="13" s="1"/>
  <c r="E278" i="13" s="1"/>
  <c r="E363" i="13"/>
  <c r="F363" i="13" s="1"/>
  <c r="D364" i="13" s="1"/>
  <c r="E909" i="20"/>
  <c r="F909" i="20" s="1"/>
  <c r="D910" i="20" s="1"/>
  <c r="E910" i="20" s="1"/>
  <c r="F910" i="20" s="1"/>
  <c r="D911" i="20" s="1"/>
  <c r="G1227" i="13"/>
  <c r="E1571" i="13"/>
  <c r="F1571" i="13" s="1"/>
  <c r="E28" i="13"/>
  <c r="E30" i="13" s="1"/>
  <c r="L205" i="2"/>
  <c r="F28" i="20"/>
  <c r="F30" i="20" s="1"/>
  <c r="G69" i="11"/>
  <c r="I69" i="11"/>
  <c r="G59" i="11"/>
  <c r="H30" i="30" s="1"/>
  <c r="I30" i="30" s="1"/>
  <c r="I59" i="11"/>
  <c r="E1743" i="13"/>
  <c r="F1743" i="13" s="1"/>
  <c r="D1744" i="13" s="1"/>
  <c r="E1485" i="13"/>
  <c r="F1485" i="13" s="1"/>
  <c r="E1055" i="13"/>
  <c r="F1055" i="13" s="1"/>
  <c r="E449" i="13"/>
  <c r="F449" i="13" s="1"/>
  <c r="D450" i="13" s="1"/>
  <c r="E377" i="20"/>
  <c r="F377" i="20" s="1"/>
  <c r="D378" i="20" s="1"/>
  <c r="E1980" i="20"/>
  <c r="F1980" i="20" s="1"/>
  <c r="D1981" i="20" s="1"/>
  <c r="E1623" i="20"/>
  <c r="F1623" i="20" s="1"/>
  <c r="D1624" i="20" s="1"/>
  <c r="E644" i="20"/>
  <c r="F644" i="20" s="1"/>
  <c r="D645" i="20" s="1"/>
  <c r="E466" i="20"/>
  <c r="F466" i="20" s="1"/>
  <c r="D467" i="20" s="1"/>
  <c r="E1356" i="20"/>
  <c r="F1356" i="20" s="1"/>
  <c r="D1357" i="20" s="1"/>
  <c r="E1446" i="20"/>
  <c r="F1446" i="20" s="1"/>
  <c r="D1447" i="20" s="1"/>
  <c r="E798" i="13"/>
  <c r="F798" i="13" s="1"/>
  <c r="D799" i="13" s="1"/>
  <c r="G1658" i="13"/>
  <c r="F1916" i="13"/>
  <c r="E822" i="20"/>
  <c r="F822" i="20" s="1"/>
  <c r="D823" i="20" s="1"/>
  <c r="F621" i="13"/>
  <c r="E1891" i="20"/>
  <c r="F1891" i="20" s="1"/>
  <c r="D1892" i="20" s="1"/>
  <c r="E105" i="13"/>
  <c r="F105" i="13" s="1"/>
  <c r="D106" i="13" s="1"/>
  <c r="E1713" i="20"/>
  <c r="F1713" i="20" s="1"/>
  <c r="D1714" i="20" s="1"/>
  <c r="E1659" i="13"/>
  <c r="F1659" i="13" s="1"/>
  <c r="D1660" i="13" s="1"/>
  <c r="E198" i="20"/>
  <c r="F198" i="20" s="1"/>
  <c r="D199" i="20" s="1"/>
  <c r="G104" i="13"/>
  <c r="E1142" i="13"/>
  <c r="F1142" i="13" s="1"/>
  <c r="D1143" i="13" s="1"/>
  <c r="F191" i="13"/>
  <c r="F1313" i="13"/>
  <c r="G797" i="13"/>
  <c r="E973" i="13"/>
  <c r="F973" i="13" s="1"/>
  <c r="D974" i="13" s="1"/>
  <c r="A59" i="11" l="1"/>
  <c r="A61" i="11" s="1"/>
  <c r="C59" i="11"/>
  <c r="D30" i="50"/>
  <c r="H29" i="50"/>
  <c r="K29" i="50" s="1"/>
  <c r="D30" i="49"/>
  <c r="H29" i="49"/>
  <c r="K29" i="49" s="1"/>
  <c r="D1229" i="13"/>
  <c r="G1400" i="13"/>
  <c r="I35" i="30"/>
  <c r="I31" i="30"/>
  <c r="I27" i="30" s="1"/>
  <c r="I25" i="30" s="1"/>
  <c r="L183" i="2" s="1"/>
  <c r="L186" i="2" s="1"/>
  <c r="H32" i="47"/>
  <c r="F39" i="47"/>
  <c r="F40" i="47" s="1"/>
  <c r="F41" i="47" s="1"/>
  <c r="F36" i="47"/>
  <c r="B73" i="2"/>
  <c r="B74" i="2" s="1"/>
  <c r="F40" i="49"/>
  <c r="F278" i="13"/>
  <c r="D279" i="13" s="1"/>
  <c r="G277" i="13"/>
  <c r="A85" i="41"/>
  <c r="B51" i="41"/>
  <c r="F588" i="13"/>
  <c r="D589" i="13" s="1"/>
  <c r="F40" i="50"/>
  <c r="D1486" i="13"/>
  <c r="E1486" i="13" s="1"/>
  <c r="F1486" i="13" s="1"/>
  <c r="D1487" i="13" s="1"/>
  <c r="G1485" i="13"/>
  <c r="G449" i="13"/>
  <c r="G534" i="13"/>
  <c r="G1743" i="13"/>
  <c r="G363" i="13"/>
  <c r="E1534" i="20"/>
  <c r="F1534" i="20" s="1"/>
  <c r="D1535" i="20" s="1"/>
  <c r="E106" i="20"/>
  <c r="F106" i="20"/>
  <c r="D107" i="20" s="1"/>
  <c r="E107" i="20" s="1"/>
  <c r="F107" i="20" s="1"/>
  <c r="D108" i="20" s="1"/>
  <c r="E108" i="20" s="1"/>
  <c r="D1830" i="13"/>
  <c r="G1829" i="13"/>
  <c r="E911" i="20"/>
  <c r="F911" i="20"/>
  <c r="D912" i="20" s="1"/>
  <c r="D1572" i="13"/>
  <c r="G1571" i="13"/>
  <c r="E1802" i="20"/>
  <c r="F1802" i="20" s="1"/>
  <c r="D1803" i="20" s="1"/>
  <c r="D1402" i="13"/>
  <c r="E1402" i="13" s="1"/>
  <c r="F1402" i="13" s="1"/>
  <c r="G1401" i="13"/>
  <c r="D1056" i="13"/>
  <c r="G1055" i="13"/>
  <c r="E1087" i="20"/>
  <c r="F1087" i="20" s="1"/>
  <c r="D1088" i="20" s="1"/>
  <c r="E1265" i="20"/>
  <c r="F1265" i="20" s="1"/>
  <c r="D1266" i="20" s="1"/>
  <c r="E286" i="20"/>
  <c r="F286" i="20" s="1"/>
  <c r="D287" i="20" s="1"/>
  <c r="L198" i="2"/>
  <c r="L203" i="2" s="1"/>
  <c r="F49" i="13"/>
  <c r="G49" i="20"/>
  <c r="F34" i="20"/>
  <c r="F36" i="20" s="1"/>
  <c r="F40" i="20" s="1"/>
  <c r="G57" i="20" s="1"/>
  <c r="G56" i="20"/>
  <c r="E34" i="13"/>
  <c r="E36" i="13" s="1"/>
  <c r="E40" i="13" s="1"/>
  <c r="F57" i="13" s="1"/>
  <c r="F56" i="13"/>
  <c r="E364" i="13"/>
  <c r="F364" i="13" s="1"/>
  <c r="G105" i="13"/>
  <c r="G798" i="13"/>
  <c r="E450" i="13"/>
  <c r="F450" i="13" s="1"/>
  <c r="E1744" i="13"/>
  <c r="F1744" i="13" s="1"/>
  <c r="F535" i="13"/>
  <c r="D536" i="13" s="1"/>
  <c r="E1447" i="20"/>
  <c r="F1447" i="20" s="1"/>
  <c r="E1357" i="20"/>
  <c r="F1357" i="20" s="1"/>
  <c r="D1358" i="20" s="1"/>
  <c r="E467" i="20"/>
  <c r="F467" i="20" s="1"/>
  <c r="E199" i="20"/>
  <c r="F199" i="20" s="1"/>
  <c r="D200" i="20" s="1"/>
  <c r="E1892" i="20"/>
  <c r="F1892" i="20" s="1"/>
  <c r="D1893" i="20" s="1"/>
  <c r="E1001" i="20"/>
  <c r="F1001" i="20" s="1"/>
  <c r="D1002" i="20" s="1"/>
  <c r="D711" i="13"/>
  <c r="G710" i="13"/>
  <c r="E378" i="20"/>
  <c r="F378" i="20" s="1"/>
  <c r="D1917" i="13"/>
  <c r="G1916" i="13"/>
  <c r="E1229" i="13"/>
  <c r="F1229" i="13" s="1"/>
  <c r="D1230" i="13" s="1"/>
  <c r="E734" i="20"/>
  <c r="F734" i="20" s="1"/>
  <c r="D735" i="20" s="1"/>
  <c r="D1314" i="13"/>
  <c r="G1313" i="13"/>
  <c r="E1143" i="13"/>
  <c r="F1143" i="13" s="1"/>
  <c r="E1660" i="13"/>
  <c r="F1660" i="13" s="1"/>
  <c r="D1661" i="13" s="1"/>
  <c r="D622" i="13"/>
  <c r="G621" i="13"/>
  <c r="G1142" i="13"/>
  <c r="G1659" i="13"/>
  <c r="E1714" i="20"/>
  <c r="F1714" i="20" s="1"/>
  <c r="E106" i="13"/>
  <c r="F106" i="13" s="1"/>
  <c r="E1803" i="20"/>
  <c r="G884" i="13"/>
  <c r="E799" i="13"/>
  <c r="F799" i="13" s="1"/>
  <c r="E645" i="20"/>
  <c r="F645" i="20" s="1"/>
  <c r="D646" i="20" s="1"/>
  <c r="E1624" i="20"/>
  <c r="F1624" i="20" s="1"/>
  <c r="E1179" i="20"/>
  <c r="F1179" i="20" s="1"/>
  <c r="D1180" i="20" s="1"/>
  <c r="D192" i="13"/>
  <c r="G191" i="13"/>
  <c r="E823" i="20"/>
  <c r="F823" i="20" s="1"/>
  <c r="E1981" i="20"/>
  <c r="F1981" i="20" s="1"/>
  <c r="E974" i="13"/>
  <c r="F974" i="13" s="1"/>
  <c r="E885" i="13"/>
  <c r="F885" i="13" s="1"/>
  <c r="G973" i="13"/>
  <c r="D31" i="50" l="1"/>
  <c r="H30" i="50"/>
  <c r="K30" i="50" s="1"/>
  <c r="D31" i="49"/>
  <c r="H30" i="49"/>
  <c r="A62" i="11"/>
  <c r="A63" i="11" s="1"/>
  <c r="L213" i="2"/>
  <c r="L13" i="2" s="1"/>
  <c r="L34" i="2" s="1"/>
  <c r="K32" i="47"/>
  <c r="K33" i="47" s="1"/>
  <c r="D36" i="47" s="1"/>
  <c r="H33" i="47"/>
  <c r="G278" i="13"/>
  <c r="F41" i="50"/>
  <c r="G589" i="13"/>
  <c r="F589" i="13"/>
  <c r="D590" i="13" s="1"/>
  <c r="F42" i="47"/>
  <c r="G1486" i="13"/>
  <c r="G588" i="13"/>
  <c r="G535" i="13"/>
  <c r="A86" i="41"/>
  <c r="F41" i="49"/>
  <c r="B75" i="2"/>
  <c r="B77" i="2" s="1"/>
  <c r="B78" i="2" s="1"/>
  <c r="E75" i="2"/>
  <c r="D365" i="13"/>
  <c r="E365" i="13" s="1"/>
  <c r="F365" i="13" s="1"/>
  <c r="G364" i="13"/>
  <c r="D451" i="13"/>
  <c r="G450" i="13"/>
  <c r="E1088" i="20"/>
  <c r="F1088" i="20" s="1"/>
  <c r="D1089" i="20" s="1"/>
  <c r="E1089" i="20" s="1"/>
  <c r="F1089" i="20" s="1"/>
  <c r="D1090" i="20" s="1"/>
  <c r="E1090" i="20" s="1"/>
  <c r="F1090" i="20" s="1"/>
  <c r="D1091" i="20" s="1"/>
  <c r="E912" i="20"/>
  <c r="F912" i="20" s="1"/>
  <c r="D913" i="20" s="1"/>
  <c r="E913" i="20" s="1"/>
  <c r="F913" i="20" s="1"/>
  <c r="D914" i="20" s="1"/>
  <c r="F108" i="20"/>
  <c r="D109" i="20" s="1"/>
  <c r="E109" i="20" s="1"/>
  <c r="F109" i="20" s="1"/>
  <c r="D110" i="20" s="1"/>
  <c r="F1803" i="20"/>
  <c r="D1804" i="20" s="1"/>
  <c r="E1804" i="20" s="1"/>
  <c r="E1266" i="20"/>
  <c r="F1266" i="20" s="1"/>
  <c r="D1267" i="20" s="1"/>
  <c r="F536" i="13"/>
  <c r="D537" i="13" s="1"/>
  <c r="E1487" i="13"/>
  <c r="F1487" i="13" s="1"/>
  <c r="E1056" i="13"/>
  <c r="F1056" i="13" s="1"/>
  <c r="E287" i="20"/>
  <c r="F287" i="20" s="1"/>
  <c r="D288" i="20" s="1"/>
  <c r="E1535" i="20"/>
  <c r="F1535" i="20" s="1"/>
  <c r="D1536" i="20" s="1"/>
  <c r="D1745" i="13"/>
  <c r="G1744" i="13"/>
  <c r="G50" i="20"/>
  <c r="F50" i="13"/>
  <c r="E1572" i="13"/>
  <c r="F1572" i="13" s="1"/>
  <c r="E1830" i="13"/>
  <c r="F1830" i="13" s="1"/>
  <c r="D1403" i="13"/>
  <c r="G1402" i="13"/>
  <c r="D107" i="13"/>
  <c r="G106" i="13"/>
  <c r="D1144" i="13"/>
  <c r="G1143" i="13"/>
  <c r="D1625" i="20"/>
  <c r="D468" i="20"/>
  <c r="D975" i="13"/>
  <c r="G974" i="13"/>
  <c r="D824" i="20"/>
  <c r="D1715" i="20"/>
  <c r="D379" i="20"/>
  <c r="D886" i="13"/>
  <c r="G885" i="13"/>
  <c r="D1982" i="20"/>
  <c r="D800" i="13"/>
  <c r="G799" i="13"/>
  <c r="D1448" i="20"/>
  <c r="E646" i="20"/>
  <c r="F646" i="20" s="1"/>
  <c r="E735" i="20"/>
  <c r="F735" i="20" s="1"/>
  <c r="D736" i="20" s="1"/>
  <c r="E1358" i="20"/>
  <c r="F1358" i="20" s="1"/>
  <c r="E622" i="13"/>
  <c r="F622" i="13" s="1"/>
  <c r="D623" i="13" s="1"/>
  <c r="G1229" i="13"/>
  <c r="E279" i="13"/>
  <c r="F279" i="13" s="1"/>
  <c r="E1180" i="20"/>
  <c r="F1180" i="20" s="1"/>
  <c r="D1181" i="20" s="1"/>
  <c r="E200" i="20"/>
  <c r="F200" i="20" s="1"/>
  <c r="D201" i="20" s="1"/>
  <c r="G1660" i="13"/>
  <c r="E1314" i="13"/>
  <c r="F1314" i="13" s="1"/>
  <c r="D1315" i="13" s="1"/>
  <c r="E1661" i="13"/>
  <c r="F1661" i="13" s="1"/>
  <c r="E1893" i="20"/>
  <c r="F1893" i="20" s="1"/>
  <c r="E192" i="13"/>
  <c r="F192" i="13" s="1"/>
  <c r="E1230" i="13"/>
  <c r="F1230" i="13" s="1"/>
  <c r="D1231" i="13" s="1"/>
  <c r="E1917" i="13"/>
  <c r="F1917" i="13" s="1"/>
  <c r="D1918" i="13" s="1"/>
  <c r="E711" i="13"/>
  <c r="F711" i="13" s="1"/>
  <c r="D712" i="13" s="1"/>
  <c r="E1002" i="20"/>
  <c r="F1002" i="20" s="1"/>
  <c r="D32" i="49" l="1"/>
  <c r="H32" i="49" s="1"/>
  <c r="K32" i="49" s="1"/>
  <c r="H31" i="49"/>
  <c r="K31" i="49" s="1"/>
  <c r="A64" i="11"/>
  <c r="A65" i="11" s="1"/>
  <c r="C65" i="11"/>
  <c r="C63" i="11"/>
  <c r="D32" i="50"/>
  <c r="H32" i="50" s="1"/>
  <c r="K32" i="50" s="1"/>
  <c r="H31" i="50"/>
  <c r="K30" i="49"/>
  <c r="H33" i="49"/>
  <c r="L37" i="2"/>
  <c r="L20" i="2"/>
  <c r="G47" i="20"/>
  <c r="G51" i="20" s="1"/>
  <c r="G55" i="20" s="1"/>
  <c r="G58" i="20" s="1"/>
  <c r="L30" i="2"/>
  <c r="L31" i="2" s="1"/>
  <c r="F47" i="13"/>
  <c r="F51" i="13" s="1"/>
  <c r="F55" i="13" s="1"/>
  <c r="F58" i="13" s="1"/>
  <c r="F1804" i="20"/>
  <c r="H36" i="47"/>
  <c r="K36" i="47" s="1"/>
  <c r="F43" i="47"/>
  <c r="F42" i="50"/>
  <c r="B79" i="2"/>
  <c r="B80" i="2" s="1"/>
  <c r="F42" i="49"/>
  <c r="A87" i="41"/>
  <c r="A88" i="41" s="1"/>
  <c r="B88" i="41"/>
  <c r="G1314" i="13"/>
  <c r="F590" i="13"/>
  <c r="D591" i="13" s="1"/>
  <c r="G590" i="13"/>
  <c r="D1057" i="13"/>
  <c r="G1056" i="13"/>
  <c r="D1831" i="13"/>
  <c r="G1830" i="13"/>
  <c r="E1536" i="20"/>
  <c r="F1536" i="20" s="1"/>
  <c r="D1537" i="20" s="1"/>
  <c r="E1537" i="20" s="1"/>
  <c r="F1537" i="20" s="1"/>
  <c r="D1538" i="20" s="1"/>
  <c r="E1267" i="20"/>
  <c r="F1267" i="20" s="1"/>
  <c r="D1268" i="20" s="1"/>
  <c r="E1268" i="20" s="1"/>
  <c r="F1268" i="20" s="1"/>
  <c r="D1269" i="20" s="1"/>
  <c r="E1269" i="20" s="1"/>
  <c r="F1269" i="20" s="1"/>
  <c r="F70" i="13"/>
  <c r="J1995" i="13" s="1"/>
  <c r="G70" i="20"/>
  <c r="D1573" i="13"/>
  <c r="G1572" i="13"/>
  <c r="D1488" i="13"/>
  <c r="G1487" i="13"/>
  <c r="D366" i="13"/>
  <c r="G365" i="13"/>
  <c r="E288" i="20"/>
  <c r="F288" i="20" s="1"/>
  <c r="D289" i="20" s="1"/>
  <c r="E289" i="20" s="1"/>
  <c r="F289" i="20" s="1"/>
  <c r="D290" i="20" s="1"/>
  <c r="E1745" i="13"/>
  <c r="F1745" i="13" s="1"/>
  <c r="G536" i="13"/>
  <c r="F537" i="13"/>
  <c r="D538" i="13" s="1"/>
  <c r="E451" i="13"/>
  <c r="F451" i="13" s="1"/>
  <c r="D193" i="13"/>
  <c r="G192" i="13"/>
  <c r="D1003" i="20"/>
  <c r="D1894" i="20"/>
  <c r="D280" i="13"/>
  <c r="G279" i="13"/>
  <c r="D1662" i="13"/>
  <c r="G1661" i="13"/>
  <c r="D647" i="20"/>
  <c r="E1918" i="13"/>
  <c r="F1918" i="13" s="1"/>
  <c r="E1448" i="20"/>
  <c r="F1448" i="20" s="1"/>
  <c r="E914" i="20"/>
  <c r="F914" i="20" s="1"/>
  <c r="E886" i="13"/>
  <c r="F886" i="13" s="1"/>
  <c r="E824" i="20"/>
  <c r="F824" i="20" s="1"/>
  <c r="E468" i="20"/>
  <c r="F468" i="20" s="1"/>
  <c r="E1144" i="13"/>
  <c r="F1144" i="13" s="1"/>
  <c r="E712" i="13"/>
  <c r="F712" i="13" s="1"/>
  <c r="D713" i="13" s="1"/>
  <c r="E1181" i="20"/>
  <c r="F1181" i="20" s="1"/>
  <c r="D1359" i="20"/>
  <c r="G1230" i="13"/>
  <c r="E1315" i="13"/>
  <c r="F1315" i="13" s="1"/>
  <c r="D1316" i="13" s="1"/>
  <c r="E201" i="20"/>
  <c r="F201" i="20" s="1"/>
  <c r="D1805" i="20"/>
  <c r="E110" i="20"/>
  <c r="F110" i="20" s="1"/>
  <c r="E1231" i="13"/>
  <c r="F1231" i="13" s="1"/>
  <c r="E623" i="13"/>
  <c r="F623" i="13" s="1"/>
  <c r="E736" i="20"/>
  <c r="F736" i="20" s="1"/>
  <c r="D737" i="20" s="1"/>
  <c r="G711" i="13"/>
  <c r="G1917" i="13"/>
  <c r="G622" i="13"/>
  <c r="E800" i="13"/>
  <c r="F800" i="13" s="1"/>
  <c r="D801" i="13" s="1"/>
  <c r="E1982" i="20"/>
  <c r="F1982" i="20" s="1"/>
  <c r="E379" i="20"/>
  <c r="F379" i="20" s="1"/>
  <c r="E1715" i="20"/>
  <c r="F1715" i="20" s="1"/>
  <c r="E975" i="13"/>
  <c r="F975" i="13" s="1"/>
  <c r="D976" i="13" s="1"/>
  <c r="E1625" i="20"/>
  <c r="F1625" i="20" s="1"/>
  <c r="E1091" i="20"/>
  <c r="F1091" i="20" s="1"/>
  <c r="E107" i="13"/>
  <c r="F107" i="13" s="1"/>
  <c r="D108" i="13" s="1"/>
  <c r="E1403" i="13"/>
  <c r="F1403" i="13" s="1"/>
  <c r="D1404" i="13" s="1"/>
  <c r="K31" i="50" l="1"/>
  <c r="K33" i="50" s="1"/>
  <c r="D36" i="50" s="1"/>
  <c r="H36" i="50" s="1"/>
  <c r="K36" i="50" s="1"/>
  <c r="H33" i="50"/>
  <c r="A66" i="11"/>
  <c r="C66" i="11"/>
  <c r="K33" i="49"/>
  <c r="D36" i="49" s="1"/>
  <c r="D39" i="47"/>
  <c r="I39" i="47"/>
  <c r="J1996" i="13"/>
  <c r="H2000" i="13"/>
  <c r="G537" i="13"/>
  <c r="F43" i="50"/>
  <c r="F43" i="49"/>
  <c r="F44" i="47"/>
  <c r="F591" i="13"/>
  <c r="D592" i="13" s="1"/>
  <c r="E90" i="2"/>
  <c r="B81" i="2"/>
  <c r="B82" i="2" s="1"/>
  <c r="E91" i="2"/>
  <c r="A89" i="41"/>
  <c r="B89" i="41"/>
  <c r="D452" i="13"/>
  <c r="G451" i="13"/>
  <c r="D1746" i="13"/>
  <c r="G1745" i="13"/>
  <c r="E366" i="13"/>
  <c r="F366" i="13" s="1"/>
  <c r="D367" i="13" s="1"/>
  <c r="E1573" i="13"/>
  <c r="F1573" i="13" s="1"/>
  <c r="D1574" i="13" s="1"/>
  <c r="E1574" i="13" s="1"/>
  <c r="F1574" i="13" s="1"/>
  <c r="D1575" i="13" s="1"/>
  <c r="J528" i="13"/>
  <c r="J1048" i="13"/>
  <c r="J1908" i="13"/>
  <c r="H1917" i="13" s="1"/>
  <c r="J1134" i="13"/>
  <c r="J1564" i="13"/>
  <c r="J270" i="13"/>
  <c r="H279" i="13" s="1"/>
  <c r="J702" i="13"/>
  <c r="J1392" i="13"/>
  <c r="J1736" i="13"/>
  <c r="J97" i="13"/>
  <c r="J184" i="13"/>
  <c r="H192" i="13" s="1"/>
  <c r="J1220" i="13"/>
  <c r="H1230" i="13" s="1"/>
  <c r="M1230" i="13" s="1"/>
  <c r="J790" i="13"/>
  <c r="J356" i="13"/>
  <c r="J1822" i="13"/>
  <c r="J876" i="13"/>
  <c r="J1306" i="13"/>
  <c r="J442" i="13"/>
  <c r="J1650" i="13"/>
  <c r="J1478" i="13"/>
  <c r="J614" i="13"/>
  <c r="H622" i="13" s="1"/>
  <c r="J962" i="13"/>
  <c r="G60" i="20"/>
  <c r="G68" i="20" s="1"/>
  <c r="G69" i="20" s="1"/>
  <c r="G71" i="20" s="1"/>
  <c r="G65" i="20"/>
  <c r="G66" i="20" s="1"/>
  <c r="F65" i="13"/>
  <c r="F66" i="13" s="1"/>
  <c r="F60" i="13"/>
  <c r="F68" i="13" s="1"/>
  <c r="F69" i="13" s="1"/>
  <c r="F71" i="13" s="1"/>
  <c r="G1315" i="13"/>
  <c r="G712" i="13"/>
  <c r="F538" i="13"/>
  <c r="D539" i="13" s="1"/>
  <c r="E1488" i="13"/>
  <c r="F1488" i="13" s="1"/>
  <c r="D1489" i="13" s="1"/>
  <c r="E1057" i="13"/>
  <c r="F1057" i="13" s="1"/>
  <c r="I454" i="20"/>
  <c r="I1790" i="20"/>
  <c r="I1344" i="20"/>
  <c r="I275" i="20"/>
  <c r="I1968" i="20"/>
  <c r="I1969" i="20" s="1"/>
  <c r="I988" i="20"/>
  <c r="I1077" i="20"/>
  <c r="G1091" i="20" s="1"/>
  <c r="I1879" i="20"/>
  <c r="I899" i="20"/>
  <c r="G914" i="20" s="1"/>
  <c r="I632" i="20"/>
  <c r="I1611" i="20"/>
  <c r="I1522" i="20"/>
  <c r="I721" i="20"/>
  <c r="I1166" i="20"/>
  <c r="G1181" i="20" s="1"/>
  <c r="I543" i="20"/>
  <c r="I1255" i="20"/>
  <c r="G1269" i="20" s="1"/>
  <c r="I1433" i="20"/>
  <c r="G1448" i="20" s="1"/>
  <c r="I185" i="20"/>
  <c r="I95" i="20"/>
  <c r="G110" i="20" s="1"/>
  <c r="I810" i="20"/>
  <c r="G824" i="20" s="1"/>
  <c r="I1700" i="20"/>
  <c r="G1715" i="20" s="1"/>
  <c r="I365" i="20"/>
  <c r="G379" i="20" s="1"/>
  <c r="E1831" i="13"/>
  <c r="F1831" i="13" s="1"/>
  <c r="D1832" i="13" s="1"/>
  <c r="D1626" i="20"/>
  <c r="D624" i="13"/>
  <c r="G623" i="13"/>
  <c r="D111" i="20"/>
  <c r="D1145" i="13"/>
  <c r="G1144" i="13"/>
  <c r="D1092" i="20"/>
  <c r="D380" i="20"/>
  <c r="D825" i="20"/>
  <c r="D1232" i="13"/>
  <c r="G1231" i="13"/>
  <c r="D887" i="13"/>
  <c r="G886" i="13"/>
  <c r="D1182" i="20"/>
  <c r="D915" i="20"/>
  <c r="D1919" i="13"/>
  <c r="G1918" i="13"/>
  <c r="E108" i="13"/>
  <c r="F108" i="13" s="1"/>
  <c r="D1983" i="20"/>
  <c r="E737" i="20"/>
  <c r="F737" i="20" s="1"/>
  <c r="D202" i="20"/>
  <c r="E1316" i="13"/>
  <c r="F1316" i="13" s="1"/>
  <c r="E713" i="13"/>
  <c r="F713" i="13" s="1"/>
  <c r="D469" i="20"/>
  <c r="E1662" i="13"/>
  <c r="F1662" i="13" s="1"/>
  <c r="E1003" i="20"/>
  <c r="F1003" i="20" s="1"/>
  <c r="D1004" i="20" s="1"/>
  <c r="E1538" i="20"/>
  <c r="F1538" i="20" s="1"/>
  <c r="D1539" i="20" s="1"/>
  <c r="E193" i="13"/>
  <c r="F193" i="13" s="1"/>
  <c r="E976" i="13"/>
  <c r="F976" i="13" s="1"/>
  <c r="D977" i="13" s="1"/>
  <c r="E647" i="20"/>
  <c r="F647" i="20" s="1"/>
  <c r="D648" i="20" s="1"/>
  <c r="G1403" i="13"/>
  <c r="G975" i="13"/>
  <c r="E1359" i="20"/>
  <c r="F1359" i="20" s="1"/>
  <c r="E1894" i="20"/>
  <c r="F1894" i="20" s="1"/>
  <c r="E1404" i="13"/>
  <c r="F1404" i="13" s="1"/>
  <c r="D1405" i="13" s="1"/>
  <c r="D1716" i="20"/>
  <c r="E801" i="13"/>
  <c r="F801" i="13" s="1"/>
  <c r="D1270" i="20"/>
  <c r="D1449" i="20"/>
  <c r="G107" i="13"/>
  <c r="G800" i="13"/>
  <c r="E1805" i="20"/>
  <c r="F1805" i="20" s="1"/>
  <c r="E290" i="20"/>
  <c r="F290" i="20" s="1"/>
  <c r="E280" i="13"/>
  <c r="F280" i="13" s="1"/>
  <c r="D39" i="50" l="1"/>
  <c r="I39" i="50"/>
  <c r="I40" i="50" s="1"/>
  <c r="I41" i="50" s="1"/>
  <c r="I42" i="50" s="1"/>
  <c r="I43" i="50" s="1"/>
  <c r="I44" i="50" s="1"/>
  <c r="I45" i="50" s="1"/>
  <c r="I46" i="50" s="1"/>
  <c r="I47" i="50" s="1"/>
  <c r="I48" i="50" s="1"/>
  <c r="I49" i="50" s="1"/>
  <c r="I50" i="50" s="1"/>
  <c r="G1574" i="13"/>
  <c r="H712" i="13"/>
  <c r="M712" i="13" s="1"/>
  <c r="H36" i="49"/>
  <c r="K36" i="49"/>
  <c r="A67" i="11"/>
  <c r="C67" i="11"/>
  <c r="G591" i="13"/>
  <c r="I53" i="50"/>
  <c r="I55" i="50" s="1"/>
  <c r="I40" i="47"/>
  <c r="I41" i="47" s="1"/>
  <c r="I42" i="47" s="1"/>
  <c r="I43" i="47" s="1"/>
  <c r="I44" i="47" s="1"/>
  <c r="I45" i="47" s="1"/>
  <c r="I46" i="47" s="1"/>
  <c r="I47" i="47" s="1"/>
  <c r="I48" i="47" s="1"/>
  <c r="I49" i="47" s="1"/>
  <c r="I50" i="47" s="1"/>
  <c r="H39" i="47"/>
  <c r="K39" i="47"/>
  <c r="D40" i="47" s="1"/>
  <c r="M2000" i="13"/>
  <c r="I2000" i="13"/>
  <c r="A91" i="41"/>
  <c r="H711" i="13"/>
  <c r="M711" i="13" s="1"/>
  <c r="G592" i="13"/>
  <c r="H592" i="13" s="1"/>
  <c r="F592" i="13"/>
  <c r="F44" i="49"/>
  <c r="F44" i="50"/>
  <c r="B83" i="2"/>
  <c r="B84" i="2" s="1"/>
  <c r="F45" i="47"/>
  <c r="G538" i="13"/>
  <c r="H538" i="13" s="1"/>
  <c r="M538" i="13" s="1"/>
  <c r="H1315" i="13"/>
  <c r="M1315" i="13" s="1"/>
  <c r="G1003" i="20"/>
  <c r="D291" i="20"/>
  <c r="E291" i="20" s="1"/>
  <c r="F291" i="20" s="1"/>
  <c r="G290" i="20"/>
  <c r="D109" i="13"/>
  <c r="E109" i="13" s="1"/>
  <c r="F109" i="13" s="1"/>
  <c r="D110" i="13" s="1"/>
  <c r="G108" i="13"/>
  <c r="H108" i="13" s="1"/>
  <c r="M108" i="13" s="1"/>
  <c r="D1806" i="20"/>
  <c r="E1806" i="20" s="1"/>
  <c r="F1806" i="20" s="1"/>
  <c r="G1805" i="20"/>
  <c r="D1058" i="13"/>
  <c r="G1057" i="13"/>
  <c r="H1057" i="13" s="1"/>
  <c r="M1057" i="13" s="1"/>
  <c r="G1709" i="20"/>
  <c r="I1701" i="20"/>
  <c r="G1708" i="20"/>
  <c r="N1692" i="20" s="1"/>
  <c r="G1710" i="20"/>
  <c r="G1706" i="20"/>
  <c r="G1707" i="20"/>
  <c r="G1705" i="20"/>
  <c r="G1711" i="20"/>
  <c r="G1712" i="20"/>
  <c r="G1713" i="20"/>
  <c r="G1714" i="20"/>
  <c r="G1831" i="13"/>
  <c r="H1831" i="13" s="1"/>
  <c r="M1831" i="13" s="1"/>
  <c r="I811" i="20"/>
  <c r="G815" i="20"/>
  <c r="G822" i="20"/>
  <c r="G820" i="20"/>
  <c r="G821" i="20"/>
  <c r="G816" i="20"/>
  <c r="G818" i="20"/>
  <c r="N802" i="20" s="1"/>
  <c r="G819" i="20"/>
  <c r="G817" i="20"/>
  <c r="G823" i="20"/>
  <c r="G1265" i="20"/>
  <c r="G1266" i="20"/>
  <c r="I1256" i="20"/>
  <c r="G1263" i="20"/>
  <c r="N1247" i="20" s="1"/>
  <c r="G1267" i="20"/>
  <c r="G1260" i="20"/>
  <c r="G1262" i="20"/>
  <c r="G1261" i="20"/>
  <c r="G1264" i="20"/>
  <c r="G1268" i="20"/>
  <c r="I1523" i="20"/>
  <c r="H1538" i="20" s="1"/>
  <c r="G1529" i="20"/>
  <c r="G1528" i="20"/>
  <c r="G1531" i="20"/>
  <c r="G1535" i="20"/>
  <c r="G1533" i="20"/>
  <c r="G1527" i="20"/>
  <c r="G1532" i="20"/>
  <c r="G1534" i="20"/>
  <c r="G1530" i="20"/>
  <c r="N1514" i="20" s="1"/>
  <c r="G1536" i="20"/>
  <c r="G1537" i="20"/>
  <c r="G1980" i="20"/>
  <c r="G1887" i="20"/>
  <c r="G1973" i="20"/>
  <c r="G1976" i="20"/>
  <c r="G1977" i="20"/>
  <c r="N1960" i="20" s="1"/>
  <c r="G1891" i="20"/>
  <c r="G1888" i="20"/>
  <c r="G1886" i="20"/>
  <c r="N1871" i="20" s="1"/>
  <c r="G1890" i="20"/>
  <c r="G1884" i="20"/>
  <c r="G1892" i="20"/>
  <c r="G1979" i="20"/>
  <c r="G1885" i="20"/>
  <c r="G1975" i="20"/>
  <c r="G1978" i="20"/>
  <c r="I1880" i="20"/>
  <c r="H1894" i="20" s="1"/>
  <c r="G1889" i="20"/>
  <c r="G1974" i="20"/>
  <c r="G1981" i="20"/>
  <c r="G1982" i="20"/>
  <c r="G1893" i="20"/>
  <c r="I276" i="20"/>
  <c r="G281" i="20"/>
  <c r="G280" i="20"/>
  <c r="G286" i="20"/>
  <c r="G285" i="20"/>
  <c r="N267" i="20" s="1"/>
  <c r="G283" i="20"/>
  <c r="G284" i="20"/>
  <c r="G288" i="20"/>
  <c r="G282" i="20"/>
  <c r="G287" i="20"/>
  <c r="G289" i="20"/>
  <c r="G1488" i="13"/>
  <c r="H1488" i="13" s="1"/>
  <c r="M1488" i="13" s="1"/>
  <c r="H1484" i="13"/>
  <c r="M1484" i="13" s="1"/>
  <c r="H1485" i="13"/>
  <c r="M1485" i="13" s="1"/>
  <c r="H1487" i="13"/>
  <c r="M1487" i="13" s="1"/>
  <c r="H1483" i="13"/>
  <c r="M1483" i="13" s="1"/>
  <c r="H1486" i="13"/>
  <c r="J1479" i="13"/>
  <c r="H881" i="13"/>
  <c r="M881" i="13" s="1"/>
  <c r="J877" i="13"/>
  <c r="I886" i="13" s="1"/>
  <c r="H883" i="13"/>
  <c r="M883" i="13" s="1"/>
  <c r="H882" i="13"/>
  <c r="M882" i="13" s="1"/>
  <c r="H884" i="13"/>
  <c r="M884" i="13" s="1"/>
  <c r="H885" i="13"/>
  <c r="M885" i="13" s="1"/>
  <c r="H1225" i="13"/>
  <c r="M1225" i="13" s="1"/>
  <c r="H1226" i="13"/>
  <c r="M1226" i="13" s="1"/>
  <c r="H1227" i="13"/>
  <c r="M1227" i="13" s="1"/>
  <c r="H1228" i="13"/>
  <c r="J1221" i="13"/>
  <c r="I1231" i="13" s="1"/>
  <c r="O1231" i="13" s="1"/>
  <c r="H1229" i="13"/>
  <c r="M1229" i="13" s="1"/>
  <c r="H1397" i="13"/>
  <c r="M1397" i="13" s="1"/>
  <c r="H1398" i="13"/>
  <c r="H1400" i="13"/>
  <c r="H1399" i="13"/>
  <c r="M1399" i="13" s="1"/>
  <c r="J1393" i="13"/>
  <c r="I1403" i="13" s="1"/>
  <c r="O1403" i="13" s="1"/>
  <c r="H1401" i="13"/>
  <c r="M1401" i="13" s="1"/>
  <c r="H1402" i="13"/>
  <c r="M1402" i="13" s="1"/>
  <c r="H1140" i="13"/>
  <c r="M1140" i="13" s="1"/>
  <c r="J1135" i="13"/>
  <c r="I1144" i="13" s="1"/>
  <c r="O1144" i="13" s="1"/>
  <c r="H1142" i="13"/>
  <c r="H1139" i="13"/>
  <c r="M1139" i="13" s="1"/>
  <c r="H1141" i="13"/>
  <c r="M1141" i="13" s="1"/>
  <c r="H1143" i="13"/>
  <c r="M1143" i="13" s="1"/>
  <c r="G1573" i="13"/>
  <c r="H1573" i="13" s="1"/>
  <c r="M1573" i="13" s="1"/>
  <c r="E1832" i="13"/>
  <c r="F1832" i="13" s="1"/>
  <c r="G106" i="20"/>
  <c r="G104" i="20"/>
  <c r="G101" i="20"/>
  <c r="G103" i="20"/>
  <c r="G100" i="20"/>
  <c r="G107" i="20"/>
  <c r="G102" i="20"/>
  <c r="G105" i="20"/>
  <c r="I96" i="20"/>
  <c r="G109" i="20"/>
  <c r="N87" i="20" s="1"/>
  <c r="G108" i="20"/>
  <c r="G601" i="20"/>
  <c r="G598" i="20"/>
  <c r="G554" i="20"/>
  <c r="G596" i="20"/>
  <c r="G568" i="20"/>
  <c r="G562" i="20"/>
  <c r="G583" i="20"/>
  <c r="G573" i="20"/>
  <c r="G550" i="20"/>
  <c r="N535" i="20" s="1"/>
  <c r="G606" i="20"/>
  <c r="G548" i="20"/>
  <c r="G563" i="20"/>
  <c r="G565" i="20"/>
  <c r="G577" i="20"/>
  <c r="G582" i="20"/>
  <c r="G591" i="20"/>
  <c r="G586" i="20"/>
  <c r="G594" i="20"/>
  <c r="G604" i="20"/>
  <c r="G602" i="20"/>
  <c r="G567" i="20"/>
  <c r="G584" i="20"/>
  <c r="G585" i="20"/>
  <c r="G553" i="20"/>
  <c r="G578" i="20"/>
  <c r="G558" i="20"/>
  <c r="G579" i="20"/>
  <c r="G589" i="20"/>
  <c r="G556" i="20"/>
  <c r="G581" i="20"/>
  <c r="G593" i="20"/>
  <c r="G549" i="20"/>
  <c r="G607" i="20"/>
  <c r="G576" i="20"/>
  <c r="G569" i="20"/>
  <c r="G592" i="20"/>
  <c r="G599" i="20"/>
  <c r="G560" i="20"/>
  <c r="G552" i="20"/>
  <c r="G555" i="20"/>
  <c r="G557" i="20"/>
  <c r="G574" i="20"/>
  <c r="G570" i="20"/>
  <c r="G571" i="20"/>
  <c r="G595" i="20"/>
  <c r="G588" i="20"/>
  <c r="G575" i="20"/>
  <c r="G580" i="20"/>
  <c r="G605" i="20"/>
  <c r="G597" i="20"/>
  <c r="G590" i="20"/>
  <c r="G572" i="20"/>
  <c r="G600" i="20"/>
  <c r="I544" i="20"/>
  <c r="G566" i="20"/>
  <c r="G559" i="20"/>
  <c r="G603" i="20"/>
  <c r="G564" i="20"/>
  <c r="G587" i="20"/>
  <c r="G561" i="20"/>
  <c r="G551" i="20"/>
  <c r="I1612" i="20"/>
  <c r="G1620" i="20"/>
  <c r="G1623" i="20"/>
  <c r="G1616" i="20"/>
  <c r="G1619" i="20"/>
  <c r="N1603" i="20" s="1"/>
  <c r="G1622" i="20"/>
  <c r="G1617" i="20"/>
  <c r="G1618" i="20"/>
  <c r="G1621" i="20"/>
  <c r="G1624" i="20"/>
  <c r="I1078" i="20"/>
  <c r="G1085" i="20"/>
  <c r="N1069" i="20" s="1"/>
  <c r="G1089" i="20"/>
  <c r="G1086" i="20"/>
  <c r="G1084" i="20"/>
  <c r="G1082" i="20"/>
  <c r="G1083" i="20"/>
  <c r="G1087" i="20"/>
  <c r="G1088" i="20"/>
  <c r="G1090" i="20"/>
  <c r="G1350" i="20"/>
  <c r="G1351" i="20"/>
  <c r="G1349" i="20"/>
  <c r="G1353" i="20"/>
  <c r="I1345" i="20"/>
  <c r="H1359" i="20" s="1"/>
  <c r="G1355" i="20"/>
  <c r="G1354" i="20"/>
  <c r="G1356" i="20"/>
  <c r="G1352" i="20"/>
  <c r="N1336" i="20" s="1"/>
  <c r="G1357" i="20"/>
  <c r="G1358" i="20"/>
  <c r="E1489" i="13"/>
  <c r="F1489" i="13" s="1"/>
  <c r="J1651" i="13"/>
  <c r="H1657" i="13"/>
  <c r="M1657" i="13" s="1"/>
  <c r="H1655" i="13"/>
  <c r="H1659" i="13"/>
  <c r="H1656" i="13"/>
  <c r="M1656" i="13" s="1"/>
  <c r="H1658" i="13"/>
  <c r="H1660" i="13"/>
  <c r="H1829" i="13"/>
  <c r="H1827" i="13"/>
  <c r="H1828" i="13"/>
  <c r="M1828" i="13" s="1"/>
  <c r="H1830" i="13"/>
  <c r="M1830" i="13" s="1"/>
  <c r="J1823" i="13"/>
  <c r="J185" i="13"/>
  <c r="H189" i="13"/>
  <c r="M189" i="13" s="1"/>
  <c r="H191" i="13"/>
  <c r="M191" i="13" s="1"/>
  <c r="H190" i="13"/>
  <c r="M190" i="13" s="1"/>
  <c r="J703" i="13"/>
  <c r="H707" i="13"/>
  <c r="M707" i="13" s="1"/>
  <c r="H708" i="13"/>
  <c r="M708" i="13" s="1"/>
  <c r="H709" i="13"/>
  <c r="M709" i="13" s="1"/>
  <c r="H710" i="13"/>
  <c r="M710" i="13" s="1"/>
  <c r="J1909" i="13"/>
  <c r="I1918" i="13" s="1"/>
  <c r="O1918" i="13" s="1"/>
  <c r="H1914" i="13"/>
  <c r="H1915" i="13"/>
  <c r="H1913" i="13"/>
  <c r="H1916" i="13"/>
  <c r="E1746" i="13"/>
  <c r="F1746" i="13" s="1"/>
  <c r="D1747" i="13" s="1"/>
  <c r="H1661" i="13"/>
  <c r="G1625" i="20"/>
  <c r="I366" i="20"/>
  <c r="G376" i="20"/>
  <c r="G375" i="20"/>
  <c r="N357" i="20" s="1"/>
  <c r="G370" i="20"/>
  <c r="G374" i="20"/>
  <c r="G371" i="20"/>
  <c r="G377" i="20"/>
  <c r="G373" i="20"/>
  <c r="G372" i="20"/>
  <c r="G378" i="20"/>
  <c r="G195" i="20"/>
  <c r="G192" i="20"/>
  <c r="G194" i="20"/>
  <c r="G190" i="20"/>
  <c r="I186" i="20"/>
  <c r="G198" i="20"/>
  <c r="G196" i="20"/>
  <c r="N177" i="20" s="1"/>
  <c r="G197" i="20"/>
  <c r="G193" i="20"/>
  <c r="G191" i="20"/>
  <c r="G199" i="20"/>
  <c r="G201" i="20"/>
  <c r="G200" i="20"/>
  <c r="G1177" i="20"/>
  <c r="I1167" i="20"/>
  <c r="G1176" i="20"/>
  <c r="G1175" i="20"/>
  <c r="G1173" i="20"/>
  <c r="G1172" i="20"/>
  <c r="G1171" i="20"/>
  <c r="G1178" i="20"/>
  <c r="G1174" i="20"/>
  <c r="N1158" i="20" s="1"/>
  <c r="G1179" i="20"/>
  <c r="G1180" i="20"/>
  <c r="G644" i="20"/>
  <c r="G640" i="20"/>
  <c r="G643" i="20"/>
  <c r="G642" i="20"/>
  <c r="N624" i="20" s="1"/>
  <c r="G638" i="20"/>
  <c r="G641" i="20"/>
  <c r="G637" i="20"/>
  <c r="I633" i="20"/>
  <c r="H647" i="20" s="1"/>
  <c r="G639" i="20"/>
  <c r="G645" i="20"/>
  <c r="G646" i="20"/>
  <c r="G998" i="20"/>
  <c r="G994" i="20"/>
  <c r="G999" i="20"/>
  <c r="G993" i="20"/>
  <c r="I989" i="20"/>
  <c r="G995" i="20"/>
  <c r="G996" i="20"/>
  <c r="G997" i="20"/>
  <c r="N980" i="20" s="1"/>
  <c r="G1000" i="20"/>
  <c r="G1001" i="20"/>
  <c r="G1002" i="20"/>
  <c r="G1796" i="20"/>
  <c r="G1800" i="20"/>
  <c r="G1799" i="20"/>
  <c r="G1801" i="20"/>
  <c r="G1798" i="20"/>
  <c r="G1795" i="20"/>
  <c r="N1782" i="20" s="1"/>
  <c r="G1797" i="20"/>
  <c r="I1791" i="20"/>
  <c r="G1802" i="20"/>
  <c r="G1803" i="20"/>
  <c r="G1804" i="20"/>
  <c r="F539" i="13"/>
  <c r="D540" i="13" s="1"/>
  <c r="H969" i="13"/>
  <c r="M969" i="13" s="1"/>
  <c r="H968" i="13"/>
  <c r="M968" i="13" s="1"/>
  <c r="H967" i="13"/>
  <c r="M967" i="13" s="1"/>
  <c r="H972" i="13"/>
  <c r="H970" i="13"/>
  <c r="M970" i="13" s="1"/>
  <c r="H971" i="13"/>
  <c r="J963" i="13"/>
  <c r="I975" i="13" s="1"/>
  <c r="H973" i="13"/>
  <c r="H974" i="13"/>
  <c r="H451" i="13"/>
  <c r="M451" i="13" s="1"/>
  <c r="J443" i="13"/>
  <c r="H447" i="13"/>
  <c r="M447" i="13" s="1"/>
  <c r="H448" i="13"/>
  <c r="M448" i="13" s="1"/>
  <c r="H449" i="13"/>
  <c r="M449" i="13" s="1"/>
  <c r="H450" i="13"/>
  <c r="M450" i="13" s="1"/>
  <c r="H361" i="13"/>
  <c r="M361" i="13" s="1"/>
  <c r="J357" i="13"/>
  <c r="H363" i="13"/>
  <c r="M363" i="13" s="1"/>
  <c r="H365" i="13"/>
  <c r="M365" i="13" s="1"/>
  <c r="H364" i="13"/>
  <c r="M364" i="13" s="1"/>
  <c r="H362" i="13"/>
  <c r="M362" i="13" s="1"/>
  <c r="H102" i="13"/>
  <c r="M102" i="13" s="1"/>
  <c r="H104" i="13"/>
  <c r="M104" i="13" s="1"/>
  <c r="J98" i="13"/>
  <c r="H105" i="13"/>
  <c r="M105" i="13" s="1"/>
  <c r="H103" i="13"/>
  <c r="M103" i="13" s="1"/>
  <c r="H106" i="13"/>
  <c r="M106" i="13" s="1"/>
  <c r="H278" i="13"/>
  <c r="M278" i="13" s="1"/>
  <c r="H275" i="13"/>
  <c r="M275" i="13" s="1"/>
  <c r="H277" i="13"/>
  <c r="M277" i="13" s="1"/>
  <c r="H276" i="13"/>
  <c r="M276" i="13" s="1"/>
  <c r="J271" i="13"/>
  <c r="H1053" i="13"/>
  <c r="M1053" i="13" s="1"/>
  <c r="H1054" i="13"/>
  <c r="M1054" i="13" s="1"/>
  <c r="J1049" i="13"/>
  <c r="H1056" i="13"/>
  <c r="H1055" i="13"/>
  <c r="M1055" i="13" s="1"/>
  <c r="G366" i="13"/>
  <c r="H366" i="13" s="1"/>
  <c r="G1439" i="20"/>
  <c r="I1434" i="20"/>
  <c r="G1445" i="20"/>
  <c r="G1444" i="20"/>
  <c r="G1440" i="20"/>
  <c r="G1446" i="20"/>
  <c r="G1441" i="20"/>
  <c r="N1425" i="20" s="1"/>
  <c r="G1438" i="20"/>
  <c r="G1443" i="20"/>
  <c r="G1442" i="20"/>
  <c r="G1447" i="20"/>
  <c r="G728" i="20"/>
  <c r="G729" i="20"/>
  <c r="G733" i="20"/>
  <c r="I722" i="20"/>
  <c r="H737" i="20" s="1"/>
  <c r="G731" i="20"/>
  <c r="N713" i="20" s="1"/>
  <c r="G732" i="20"/>
  <c r="G734" i="20"/>
  <c r="G730" i="20"/>
  <c r="G726" i="20"/>
  <c r="G727" i="20"/>
  <c r="G735" i="20"/>
  <c r="G736" i="20"/>
  <c r="G911" i="20"/>
  <c r="G908" i="20"/>
  <c r="G904" i="20"/>
  <c r="I900" i="20"/>
  <c r="G907" i="20"/>
  <c r="G906" i="20"/>
  <c r="G910" i="20"/>
  <c r="G909" i="20"/>
  <c r="N891" i="20" s="1"/>
  <c r="G905" i="20"/>
  <c r="G912" i="20"/>
  <c r="G913" i="20"/>
  <c r="G465" i="20"/>
  <c r="G460" i="20"/>
  <c r="G466" i="20"/>
  <c r="G463" i="20"/>
  <c r="I455" i="20"/>
  <c r="G464" i="20"/>
  <c r="N446" i="20" s="1"/>
  <c r="G462" i="20"/>
  <c r="G461" i="20"/>
  <c r="G459" i="20"/>
  <c r="G467" i="20"/>
  <c r="G468" i="20"/>
  <c r="J615" i="13"/>
  <c r="I623" i="13" s="1"/>
  <c r="H620" i="13"/>
  <c r="M620" i="13" s="1"/>
  <c r="H619" i="13"/>
  <c r="M619" i="13" s="1"/>
  <c r="H621" i="13"/>
  <c r="M621" i="13" s="1"/>
  <c r="J1307" i="13"/>
  <c r="H1313" i="13"/>
  <c r="M1313" i="13" s="1"/>
  <c r="H1311" i="13"/>
  <c r="M1311" i="13" s="1"/>
  <c r="H1312" i="13"/>
  <c r="M1312" i="13" s="1"/>
  <c r="H1314" i="13"/>
  <c r="H797" i="13"/>
  <c r="M797" i="13" s="1"/>
  <c r="H798" i="13"/>
  <c r="H796" i="13"/>
  <c r="M796" i="13" s="1"/>
  <c r="H795" i="13"/>
  <c r="M795" i="13" s="1"/>
  <c r="J791" i="13"/>
  <c r="I800" i="13" s="1"/>
  <c r="O800" i="13" s="1"/>
  <c r="H799" i="13"/>
  <c r="M799" i="13" s="1"/>
  <c r="H1744" i="13"/>
  <c r="M1744" i="13" s="1"/>
  <c r="J1737" i="13"/>
  <c r="H1742" i="13"/>
  <c r="M1742" i="13" s="1"/>
  <c r="H1741" i="13"/>
  <c r="H1745" i="13"/>
  <c r="H1743" i="13"/>
  <c r="M1743" i="13" s="1"/>
  <c r="J1565" i="13"/>
  <c r="I1574" i="13" s="1"/>
  <c r="O1574" i="13" s="1"/>
  <c r="H1570" i="13"/>
  <c r="M1570" i="13" s="1"/>
  <c r="H1571" i="13"/>
  <c r="M1571" i="13" s="1"/>
  <c r="H1569" i="13"/>
  <c r="M1569" i="13" s="1"/>
  <c r="H1572" i="13"/>
  <c r="H582" i="13"/>
  <c r="H584" i="13"/>
  <c r="H587" i="13"/>
  <c r="H590" i="13"/>
  <c r="J529" i="13"/>
  <c r="H585" i="13"/>
  <c r="H580" i="13"/>
  <c r="H581" i="13"/>
  <c r="H536" i="13"/>
  <c r="M536" i="13" s="1"/>
  <c r="H535" i="13"/>
  <c r="H537" i="13"/>
  <c r="M537" i="13" s="1"/>
  <c r="H589" i="13"/>
  <c r="H588" i="13"/>
  <c r="H583" i="13"/>
  <c r="H533" i="13"/>
  <c r="M533" i="13" s="1"/>
  <c r="H591" i="13"/>
  <c r="H578" i="13"/>
  <c r="H579" i="13"/>
  <c r="H586" i="13"/>
  <c r="H534" i="13"/>
  <c r="M534" i="13" s="1"/>
  <c r="E367" i="13"/>
  <c r="F367" i="13" s="1"/>
  <c r="D368" i="13" s="1"/>
  <c r="E452" i="13"/>
  <c r="F452" i="13" s="1"/>
  <c r="D453" i="13" s="1"/>
  <c r="D281" i="13"/>
  <c r="G280" i="13"/>
  <c r="D1663" i="13"/>
  <c r="G1662" i="13"/>
  <c r="D194" i="13"/>
  <c r="G193" i="13"/>
  <c r="D738" i="20"/>
  <c r="G737" i="20"/>
  <c r="D802" i="13"/>
  <c r="G801" i="13"/>
  <c r="D1360" i="20"/>
  <c r="G1359" i="20"/>
  <c r="D1317" i="13"/>
  <c r="G1316" i="13"/>
  <c r="D1895" i="20"/>
  <c r="G1894" i="20"/>
  <c r="D714" i="13"/>
  <c r="G713" i="13"/>
  <c r="H800" i="13"/>
  <c r="M800" i="13" s="1"/>
  <c r="H1403" i="13"/>
  <c r="M1403" i="13" s="1"/>
  <c r="E977" i="13"/>
  <c r="F977" i="13" s="1"/>
  <c r="E1539" i="20"/>
  <c r="F1539" i="20" s="1"/>
  <c r="D1540" i="20" s="1"/>
  <c r="E1983" i="20"/>
  <c r="F1983" i="20" s="1"/>
  <c r="H1918" i="13"/>
  <c r="M1918" i="13" s="1"/>
  <c r="H1574" i="13"/>
  <c r="M1574" i="13" s="1"/>
  <c r="E1092" i="20"/>
  <c r="F1092" i="20" s="1"/>
  <c r="D1093" i="20" s="1"/>
  <c r="E624" i="13"/>
  <c r="F624" i="13" s="1"/>
  <c r="M192" i="13"/>
  <c r="E1716" i="20"/>
  <c r="F1716" i="20" s="1"/>
  <c r="E202" i="20"/>
  <c r="F202" i="20" s="1"/>
  <c r="E1919" i="13"/>
  <c r="F1919" i="13" s="1"/>
  <c r="D1920" i="13" s="1"/>
  <c r="H886" i="13"/>
  <c r="E1575" i="13"/>
  <c r="F1575" i="13" s="1"/>
  <c r="E380" i="20"/>
  <c r="F380" i="20" s="1"/>
  <c r="D381" i="20" s="1"/>
  <c r="E1270" i="20"/>
  <c r="F1270" i="20" s="1"/>
  <c r="E1405" i="13"/>
  <c r="F1405" i="13" s="1"/>
  <c r="M1917" i="13"/>
  <c r="E648" i="20"/>
  <c r="F648" i="20" s="1"/>
  <c r="E469" i="20"/>
  <c r="F469" i="20" s="1"/>
  <c r="E915" i="20"/>
  <c r="F915" i="20" s="1"/>
  <c r="D916" i="20" s="1"/>
  <c r="E1232" i="13"/>
  <c r="F1232" i="13" s="1"/>
  <c r="D1233" i="13" s="1"/>
  <c r="H107" i="13"/>
  <c r="E1449" i="20"/>
  <c r="F1449" i="20" s="1"/>
  <c r="D1450" i="20" s="1"/>
  <c r="M279" i="13"/>
  <c r="M622" i="13"/>
  <c r="G647" i="20"/>
  <c r="E1182" i="20"/>
  <c r="F1182" i="20" s="1"/>
  <c r="E887" i="13"/>
  <c r="F887" i="13" s="1"/>
  <c r="D888" i="13" s="1"/>
  <c r="H1144" i="13"/>
  <c r="M1144" i="13" s="1"/>
  <c r="E111" i="20"/>
  <c r="F111" i="20" s="1"/>
  <c r="G1404" i="13"/>
  <c r="H975" i="13"/>
  <c r="G976" i="13"/>
  <c r="G1538" i="20"/>
  <c r="E1004" i="20"/>
  <c r="F1004" i="20" s="1"/>
  <c r="H1231" i="13"/>
  <c r="M1231" i="13" s="1"/>
  <c r="E825" i="20"/>
  <c r="F825" i="20" s="1"/>
  <c r="D826" i="20" s="1"/>
  <c r="E1145" i="13"/>
  <c r="F1145" i="13" s="1"/>
  <c r="H623" i="13"/>
  <c r="M623" i="13" s="1"/>
  <c r="E1626" i="20"/>
  <c r="F1626" i="20" s="1"/>
  <c r="D1627" i="20" s="1"/>
  <c r="A68" i="11" l="1"/>
  <c r="C68" i="11"/>
  <c r="D39" i="49"/>
  <c r="I39" i="49"/>
  <c r="I53" i="47"/>
  <c r="I55" i="47" s="1"/>
  <c r="K39" i="50"/>
  <c r="D40" i="50" s="1"/>
  <c r="H39" i="50"/>
  <c r="P1403" i="13"/>
  <c r="P1231" i="13"/>
  <c r="P1574" i="13"/>
  <c r="P1144" i="13"/>
  <c r="I108" i="13"/>
  <c r="O108" i="13" s="1"/>
  <c r="P108" i="13" s="1"/>
  <c r="P800" i="13"/>
  <c r="H40" i="47"/>
  <c r="K40" i="47"/>
  <c r="D41" i="47" s="1"/>
  <c r="M1644" i="13"/>
  <c r="M1645" i="13" s="1"/>
  <c r="O2000" i="13"/>
  <c r="P2000" i="13" s="1"/>
  <c r="J2000" i="13"/>
  <c r="M1386" i="13"/>
  <c r="M1387" i="13" s="1"/>
  <c r="P1918" i="13"/>
  <c r="I107" i="13"/>
  <c r="J107" i="13" s="1"/>
  <c r="B85" i="2"/>
  <c r="B86" i="2" s="1"/>
  <c r="F45" i="49"/>
  <c r="F46" i="47"/>
  <c r="F45" i="50"/>
  <c r="E92" i="2"/>
  <c r="A92" i="41"/>
  <c r="G1746" i="13"/>
  <c r="H1746" i="13" s="1"/>
  <c r="D292" i="20"/>
  <c r="E292" i="20" s="1"/>
  <c r="F292" i="20" s="1"/>
  <c r="D293" i="20" s="1"/>
  <c r="G291" i="20"/>
  <c r="H291" i="20"/>
  <c r="D470" i="20"/>
  <c r="E470" i="20" s="1"/>
  <c r="F470" i="20" s="1"/>
  <c r="H469" i="20"/>
  <c r="D112" i="20"/>
  <c r="E112" i="20" s="1"/>
  <c r="F112" i="20" s="1"/>
  <c r="H111" i="20"/>
  <c r="D1717" i="20"/>
  <c r="E1717" i="20" s="1"/>
  <c r="F1717" i="20" s="1"/>
  <c r="G1716" i="20"/>
  <c r="H1716" i="20"/>
  <c r="D1005" i="20"/>
  <c r="G1004" i="20"/>
  <c r="H1004" i="20"/>
  <c r="D1833" i="13"/>
  <c r="G1832" i="13"/>
  <c r="H1832" i="13" s="1"/>
  <c r="M1832" i="13" s="1"/>
  <c r="G452" i="13"/>
  <c r="H452" i="13" s="1"/>
  <c r="I582" i="13"/>
  <c r="J582" i="13" s="1"/>
  <c r="I537" i="13"/>
  <c r="I578" i="13"/>
  <c r="J578" i="13" s="1"/>
  <c r="I589" i="13"/>
  <c r="J589" i="13" s="1"/>
  <c r="I581" i="13"/>
  <c r="J581" i="13" s="1"/>
  <c r="I591" i="13"/>
  <c r="J591" i="13" s="1"/>
  <c r="I590" i="13"/>
  <c r="J590" i="13" s="1"/>
  <c r="I538" i="13"/>
  <c r="I534" i="13"/>
  <c r="I584" i="13"/>
  <c r="J584" i="13" s="1"/>
  <c r="I583" i="13"/>
  <c r="J583" i="13" s="1"/>
  <c r="I585" i="13"/>
  <c r="J585" i="13" s="1"/>
  <c r="I579" i="13"/>
  <c r="J579" i="13" s="1"/>
  <c r="I586" i="13"/>
  <c r="J586" i="13" s="1"/>
  <c r="I588" i="13"/>
  <c r="J588" i="13" s="1"/>
  <c r="I536" i="13"/>
  <c r="I592" i="13"/>
  <c r="J592" i="13" s="1"/>
  <c r="I533" i="13"/>
  <c r="I535" i="13"/>
  <c r="I587" i="13"/>
  <c r="J587" i="13" s="1"/>
  <c r="I580" i="13"/>
  <c r="J580" i="13" s="1"/>
  <c r="M1730" i="13"/>
  <c r="M1731" i="13" s="1"/>
  <c r="M1741" i="13"/>
  <c r="M798" i="13"/>
  <c r="M366" i="13"/>
  <c r="M1056" i="13"/>
  <c r="I275" i="13"/>
  <c r="I278" i="13"/>
  <c r="I276" i="13"/>
  <c r="I277" i="13"/>
  <c r="I279" i="13"/>
  <c r="I105" i="13"/>
  <c r="I102" i="13"/>
  <c r="I106" i="13"/>
  <c r="I103" i="13"/>
  <c r="I104" i="13"/>
  <c r="G539" i="13"/>
  <c r="H539" i="13" s="1"/>
  <c r="H1178" i="20"/>
  <c r="I1178" i="20" s="1"/>
  <c r="H1172" i="20"/>
  <c r="I1172" i="20" s="1"/>
  <c r="H1177" i="20"/>
  <c r="I1177" i="20" s="1"/>
  <c r="H1171" i="20"/>
  <c r="I1171" i="20" s="1"/>
  <c r="H1175" i="20"/>
  <c r="I1175" i="20" s="1"/>
  <c r="H1179" i="20"/>
  <c r="I1179" i="20" s="1"/>
  <c r="H1174" i="20"/>
  <c r="H1176" i="20"/>
  <c r="I1176" i="20" s="1"/>
  <c r="H1173" i="20"/>
  <c r="I1173" i="20" s="1"/>
  <c r="H1180" i="20"/>
  <c r="I1180" i="20" s="1"/>
  <c r="H1181" i="20"/>
  <c r="I1181" i="20" s="1"/>
  <c r="H376" i="20"/>
  <c r="I376" i="20" s="1"/>
  <c r="H373" i="20"/>
  <c r="I373" i="20" s="1"/>
  <c r="H377" i="20"/>
  <c r="I377" i="20" s="1"/>
  <c r="H371" i="20"/>
  <c r="I371" i="20" s="1"/>
  <c r="H375" i="20"/>
  <c r="H372" i="20"/>
  <c r="I372" i="20" s="1"/>
  <c r="H378" i="20"/>
  <c r="I378" i="20" s="1"/>
  <c r="H370" i="20"/>
  <c r="I370" i="20" s="1"/>
  <c r="H374" i="20"/>
  <c r="I374" i="20" s="1"/>
  <c r="H379" i="20"/>
  <c r="I379" i="20" s="1"/>
  <c r="E1747" i="13"/>
  <c r="F1747" i="13" s="1"/>
  <c r="D1748" i="13" s="1"/>
  <c r="E1748" i="13" s="1"/>
  <c r="F1748" i="13" s="1"/>
  <c r="D1749" i="13" s="1"/>
  <c r="I1831" i="13"/>
  <c r="I1828" i="13"/>
  <c r="I1830" i="13"/>
  <c r="I1829" i="13"/>
  <c r="I1827" i="13"/>
  <c r="J1827" i="13" s="1"/>
  <c r="M1829" i="13"/>
  <c r="H1350" i="20"/>
  <c r="I1350" i="20" s="1"/>
  <c r="H1354" i="20"/>
  <c r="I1354" i="20" s="1"/>
  <c r="H1355" i="20"/>
  <c r="I1355" i="20" s="1"/>
  <c r="H1352" i="20"/>
  <c r="H1351" i="20"/>
  <c r="I1351" i="20" s="1"/>
  <c r="H1349" i="20"/>
  <c r="I1349" i="20" s="1"/>
  <c r="H1356" i="20"/>
  <c r="I1356" i="20" s="1"/>
  <c r="H1353" i="20"/>
  <c r="I1353" i="20" s="1"/>
  <c r="H1357" i="20"/>
  <c r="I1357" i="20" s="1"/>
  <c r="H1358" i="20"/>
  <c r="I1358" i="20" s="1"/>
  <c r="H1617" i="20"/>
  <c r="I1617" i="20" s="1"/>
  <c r="H1624" i="20"/>
  <c r="I1624" i="20" s="1"/>
  <c r="H1622" i="20"/>
  <c r="I1622" i="20" s="1"/>
  <c r="H1618" i="20"/>
  <c r="I1618" i="20" s="1"/>
  <c r="H1620" i="20"/>
  <c r="I1620" i="20" s="1"/>
  <c r="H1616" i="20"/>
  <c r="I1616" i="20" s="1"/>
  <c r="H1623" i="20"/>
  <c r="I1623" i="20" s="1"/>
  <c r="H1619" i="20"/>
  <c r="H1621" i="20"/>
  <c r="I1621" i="20" s="1"/>
  <c r="H1625" i="20"/>
  <c r="I1625" i="20" s="1"/>
  <c r="H572" i="20"/>
  <c r="I572" i="20" s="1"/>
  <c r="H574" i="20"/>
  <c r="I574" i="20" s="1"/>
  <c r="H583" i="20"/>
  <c r="I583" i="20" s="1"/>
  <c r="H577" i="20"/>
  <c r="I577" i="20" s="1"/>
  <c r="H565" i="20"/>
  <c r="I565" i="20" s="1"/>
  <c r="H578" i="20"/>
  <c r="I578" i="20" s="1"/>
  <c r="H553" i="20"/>
  <c r="I553" i="20" s="1"/>
  <c r="H599" i="20"/>
  <c r="I599" i="20" s="1"/>
  <c r="H590" i="20"/>
  <c r="I590" i="20" s="1"/>
  <c r="H560" i="20"/>
  <c r="I560" i="20" s="1"/>
  <c r="H564" i="20"/>
  <c r="I564" i="20" s="1"/>
  <c r="H601" i="20"/>
  <c r="I601" i="20" s="1"/>
  <c r="H554" i="20"/>
  <c r="I554" i="20" s="1"/>
  <c r="H561" i="20"/>
  <c r="I561" i="20" s="1"/>
  <c r="H597" i="20"/>
  <c r="I597" i="20" s="1"/>
  <c r="H579" i="20"/>
  <c r="I579" i="20" s="1"/>
  <c r="H557" i="20"/>
  <c r="I557" i="20" s="1"/>
  <c r="H582" i="20"/>
  <c r="I582" i="20" s="1"/>
  <c r="H562" i="20"/>
  <c r="I562" i="20" s="1"/>
  <c r="H604" i="20"/>
  <c r="I604" i="20" s="1"/>
  <c r="H595" i="20"/>
  <c r="I595" i="20" s="1"/>
  <c r="H593" i="20"/>
  <c r="I593" i="20" s="1"/>
  <c r="H602" i="20"/>
  <c r="I602" i="20" s="1"/>
  <c r="H556" i="20"/>
  <c r="I556" i="20" s="1"/>
  <c r="H592" i="20"/>
  <c r="I592" i="20" s="1"/>
  <c r="H585" i="20"/>
  <c r="I585" i="20" s="1"/>
  <c r="H550" i="20"/>
  <c r="H589" i="20"/>
  <c r="I589" i="20" s="1"/>
  <c r="H567" i="20"/>
  <c r="I567" i="20" s="1"/>
  <c r="H598" i="20"/>
  <c r="I598" i="20" s="1"/>
  <c r="H559" i="20"/>
  <c r="I559" i="20" s="1"/>
  <c r="H575" i="20"/>
  <c r="I575" i="20" s="1"/>
  <c r="H568" i="20"/>
  <c r="I568" i="20" s="1"/>
  <c r="H570" i="20"/>
  <c r="I570" i="20" s="1"/>
  <c r="H591" i="20"/>
  <c r="I591" i="20" s="1"/>
  <c r="H551" i="20"/>
  <c r="I551" i="20" s="1"/>
  <c r="H558" i="20"/>
  <c r="I558" i="20" s="1"/>
  <c r="H594" i="20"/>
  <c r="I594" i="20" s="1"/>
  <c r="H580" i="20"/>
  <c r="I580" i="20" s="1"/>
  <c r="H581" i="20"/>
  <c r="I581" i="20" s="1"/>
  <c r="H576" i="20"/>
  <c r="I576" i="20" s="1"/>
  <c r="H607" i="20"/>
  <c r="I607" i="20" s="1"/>
  <c r="H596" i="20"/>
  <c r="I596" i="20" s="1"/>
  <c r="H555" i="20"/>
  <c r="I555" i="20" s="1"/>
  <c r="H584" i="20"/>
  <c r="I584" i="20" s="1"/>
  <c r="H563" i="20"/>
  <c r="I563" i="20" s="1"/>
  <c r="H566" i="20"/>
  <c r="I566" i="20" s="1"/>
  <c r="H569" i="20"/>
  <c r="I569" i="20" s="1"/>
  <c r="H588" i="20"/>
  <c r="I588" i="20" s="1"/>
  <c r="H549" i="20"/>
  <c r="I549" i="20" s="1"/>
  <c r="H548" i="20"/>
  <c r="H603" i="20"/>
  <c r="I603" i="20" s="1"/>
  <c r="H600" i="20"/>
  <c r="I600" i="20" s="1"/>
  <c r="H587" i="20"/>
  <c r="I587" i="20" s="1"/>
  <c r="H573" i="20"/>
  <c r="I573" i="20" s="1"/>
  <c r="H552" i="20"/>
  <c r="I552" i="20" s="1"/>
  <c r="H571" i="20"/>
  <c r="I571" i="20" s="1"/>
  <c r="H605" i="20"/>
  <c r="I605" i="20" s="1"/>
  <c r="H586" i="20"/>
  <c r="I586" i="20" s="1"/>
  <c r="H606" i="20"/>
  <c r="I606" i="20" s="1"/>
  <c r="H107" i="20"/>
  <c r="I107" i="20" s="1"/>
  <c r="H100" i="20"/>
  <c r="I100" i="20" s="1"/>
  <c r="H105" i="20"/>
  <c r="I105" i="20" s="1"/>
  <c r="H106" i="20"/>
  <c r="I106" i="20" s="1"/>
  <c r="H109" i="20"/>
  <c r="H101" i="20"/>
  <c r="I101" i="20" s="1"/>
  <c r="H104" i="20"/>
  <c r="I104" i="20" s="1"/>
  <c r="H102" i="20"/>
  <c r="I102" i="20" s="1"/>
  <c r="H103" i="20"/>
  <c r="I103" i="20" s="1"/>
  <c r="H108" i="20"/>
  <c r="I108" i="20" s="1"/>
  <c r="H110" i="20"/>
  <c r="I110" i="20" s="1"/>
  <c r="M1142" i="13"/>
  <c r="M1228" i="13"/>
  <c r="M1214" i="13"/>
  <c r="M1215" i="13" s="1"/>
  <c r="I884" i="13"/>
  <c r="I883" i="13"/>
  <c r="I882" i="13"/>
  <c r="I881" i="13"/>
  <c r="I885" i="13"/>
  <c r="H1535" i="20"/>
  <c r="I1535" i="20" s="1"/>
  <c r="H1533" i="20"/>
  <c r="I1533" i="20" s="1"/>
  <c r="H1536" i="20"/>
  <c r="I1536" i="20" s="1"/>
  <c r="H1532" i="20"/>
  <c r="I1532" i="20" s="1"/>
  <c r="H1528" i="20"/>
  <c r="I1528" i="20" s="1"/>
  <c r="H1534" i="20"/>
  <c r="I1534" i="20" s="1"/>
  <c r="H1531" i="20"/>
  <c r="I1531" i="20" s="1"/>
  <c r="H1529" i="20"/>
  <c r="I1529" i="20" s="1"/>
  <c r="H1527" i="20"/>
  <c r="I1527" i="20" s="1"/>
  <c r="H1530" i="20"/>
  <c r="H1537" i="20"/>
  <c r="I1537" i="20" s="1"/>
  <c r="H1263" i="20"/>
  <c r="H1264" i="20"/>
  <c r="I1264" i="20" s="1"/>
  <c r="H1261" i="20"/>
  <c r="I1261" i="20" s="1"/>
  <c r="H1265" i="20"/>
  <c r="I1265" i="20" s="1"/>
  <c r="H1262" i="20"/>
  <c r="I1262" i="20" s="1"/>
  <c r="H1268" i="20"/>
  <c r="I1268" i="20" s="1"/>
  <c r="H1266" i="20"/>
  <c r="I1266" i="20" s="1"/>
  <c r="H1260" i="20"/>
  <c r="I1260" i="20" s="1"/>
  <c r="H1267" i="20"/>
  <c r="I1267" i="20" s="1"/>
  <c r="H1269" i="20"/>
  <c r="I1269" i="20" s="1"/>
  <c r="H819" i="20"/>
  <c r="I819" i="20" s="1"/>
  <c r="H820" i="20"/>
  <c r="I820" i="20" s="1"/>
  <c r="H818" i="20"/>
  <c r="H822" i="20"/>
  <c r="I822" i="20" s="1"/>
  <c r="H817" i="20"/>
  <c r="I817" i="20" s="1"/>
  <c r="H815" i="20"/>
  <c r="I815" i="20" s="1"/>
  <c r="H823" i="20"/>
  <c r="I823" i="20" s="1"/>
  <c r="H821" i="20"/>
  <c r="I821" i="20" s="1"/>
  <c r="H816" i="20"/>
  <c r="I816" i="20" s="1"/>
  <c r="H824" i="20"/>
  <c r="I824" i="20" s="1"/>
  <c r="H1711" i="20"/>
  <c r="I1711" i="20" s="1"/>
  <c r="H1714" i="20"/>
  <c r="I1714" i="20" s="1"/>
  <c r="H1706" i="20"/>
  <c r="I1706" i="20" s="1"/>
  <c r="H1705" i="20"/>
  <c r="I1705" i="20" s="1"/>
  <c r="H1713" i="20"/>
  <c r="I1713" i="20" s="1"/>
  <c r="H1712" i="20"/>
  <c r="I1712" i="20" s="1"/>
  <c r="H1709" i="20"/>
  <c r="I1709" i="20" s="1"/>
  <c r="H1710" i="20"/>
  <c r="I1710" i="20" s="1"/>
  <c r="H1708" i="20"/>
  <c r="H1707" i="20"/>
  <c r="I1707" i="20" s="1"/>
  <c r="H1715" i="20"/>
  <c r="I1715" i="20" s="1"/>
  <c r="E453" i="13"/>
  <c r="F453" i="13" s="1"/>
  <c r="D454" i="13" s="1"/>
  <c r="M1572" i="13"/>
  <c r="I1571" i="13"/>
  <c r="I1572" i="13"/>
  <c r="I1569" i="13"/>
  <c r="I1570" i="13"/>
  <c r="I1573" i="13"/>
  <c r="I795" i="13"/>
  <c r="I799" i="13"/>
  <c r="I797" i="13"/>
  <c r="I798" i="13"/>
  <c r="I796" i="13"/>
  <c r="H466" i="20"/>
  <c r="I466" i="20" s="1"/>
  <c r="H462" i="20"/>
  <c r="I462" i="20" s="1"/>
  <c r="H464" i="20"/>
  <c r="H467" i="20"/>
  <c r="I467" i="20" s="1"/>
  <c r="H461" i="20"/>
  <c r="I461" i="20" s="1"/>
  <c r="H465" i="20"/>
  <c r="I465" i="20" s="1"/>
  <c r="H459" i="20"/>
  <c r="I459" i="20" s="1"/>
  <c r="H460" i="20"/>
  <c r="I460" i="20" s="1"/>
  <c r="H463" i="20"/>
  <c r="I463" i="20" s="1"/>
  <c r="H468" i="20"/>
  <c r="I468" i="20" s="1"/>
  <c r="H910" i="20"/>
  <c r="I910" i="20" s="1"/>
  <c r="H909" i="20"/>
  <c r="H906" i="20"/>
  <c r="I906" i="20" s="1"/>
  <c r="H904" i="20"/>
  <c r="I904" i="20" s="1"/>
  <c r="H911" i="20"/>
  <c r="I911" i="20" s="1"/>
  <c r="H913" i="20"/>
  <c r="I913" i="20" s="1"/>
  <c r="H907" i="20"/>
  <c r="I907" i="20" s="1"/>
  <c r="H908" i="20"/>
  <c r="I908" i="20" s="1"/>
  <c r="H912" i="20"/>
  <c r="I912" i="20" s="1"/>
  <c r="H905" i="20"/>
  <c r="I905" i="20" s="1"/>
  <c r="H914" i="20"/>
  <c r="I914" i="20" s="1"/>
  <c r="H733" i="20"/>
  <c r="I733" i="20" s="1"/>
  <c r="H734" i="20"/>
  <c r="I734" i="20" s="1"/>
  <c r="H729" i="20"/>
  <c r="I729" i="20" s="1"/>
  <c r="H730" i="20"/>
  <c r="I730" i="20" s="1"/>
  <c r="H727" i="20"/>
  <c r="I727" i="20" s="1"/>
  <c r="H728" i="20"/>
  <c r="I728" i="20" s="1"/>
  <c r="H731" i="20"/>
  <c r="H732" i="20"/>
  <c r="I732" i="20" s="1"/>
  <c r="H726" i="20"/>
  <c r="I726" i="20" s="1"/>
  <c r="H735" i="20"/>
  <c r="I735" i="20" s="1"/>
  <c r="H736" i="20"/>
  <c r="I736" i="20" s="1"/>
  <c r="I1056" i="13"/>
  <c r="I1053" i="13"/>
  <c r="I1054" i="13"/>
  <c r="I1055" i="13"/>
  <c r="I1057" i="13"/>
  <c r="I450" i="13"/>
  <c r="I451" i="13"/>
  <c r="I449" i="13"/>
  <c r="I448" i="13"/>
  <c r="I447" i="13"/>
  <c r="I967" i="13"/>
  <c r="I968" i="13"/>
  <c r="I972" i="13"/>
  <c r="J972" i="13" s="1"/>
  <c r="I970" i="13"/>
  <c r="I971" i="13"/>
  <c r="I969" i="13"/>
  <c r="I973" i="13"/>
  <c r="J973" i="13" s="1"/>
  <c r="I974" i="13"/>
  <c r="J974" i="13" s="1"/>
  <c r="F540" i="13"/>
  <c r="D541" i="13" s="1"/>
  <c r="H1804" i="20"/>
  <c r="I1804" i="20" s="1"/>
  <c r="H1797" i="20"/>
  <c r="I1797" i="20" s="1"/>
  <c r="H1800" i="20"/>
  <c r="I1800" i="20" s="1"/>
  <c r="H1803" i="20"/>
  <c r="I1803" i="20" s="1"/>
  <c r="H1801" i="20"/>
  <c r="I1801" i="20" s="1"/>
  <c r="H1798" i="20"/>
  <c r="I1798" i="20" s="1"/>
  <c r="H1795" i="20"/>
  <c r="H1799" i="20"/>
  <c r="I1799" i="20" s="1"/>
  <c r="H1796" i="20"/>
  <c r="I1796" i="20" s="1"/>
  <c r="H1802" i="20"/>
  <c r="I1802" i="20" s="1"/>
  <c r="H1805" i="20"/>
  <c r="I1805" i="20" s="1"/>
  <c r="I1914" i="13"/>
  <c r="J1914" i="13" s="1"/>
  <c r="I1916" i="13"/>
  <c r="J1916" i="13" s="1"/>
  <c r="I1915" i="13"/>
  <c r="J1915" i="13" s="1"/>
  <c r="I1913" i="13"/>
  <c r="J1913" i="13" s="1"/>
  <c r="I1917" i="13"/>
  <c r="D1490" i="13"/>
  <c r="G1489" i="13"/>
  <c r="I1143" i="13"/>
  <c r="I1142" i="13"/>
  <c r="I1139" i="13"/>
  <c r="I1140" i="13"/>
  <c r="I1141" i="13"/>
  <c r="I1399" i="13"/>
  <c r="I1402" i="13"/>
  <c r="I1397" i="13"/>
  <c r="I1398" i="13"/>
  <c r="J1398" i="13" s="1"/>
  <c r="I1400" i="13"/>
  <c r="I1401" i="13"/>
  <c r="H1889" i="20"/>
  <c r="I1889" i="20" s="1"/>
  <c r="H1973" i="20"/>
  <c r="I1973" i="20" s="1"/>
  <c r="H1890" i="20"/>
  <c r="I1890" i="20" s="1"/>
  <c r="H1977" i="20"/>
  <c r="H1892" i="20"/>
  <c r="I1892" i="20" s="1"/>
  <c r="H1981" i="20"/>
  <c r="I1981" i="20" s="1"/>
  <c r="H1974" i="20"/>
  <c r="I1974" i="20" s="1"/>
  <c r="H1888" i="20"/>
  <c r="I1888" i="20" s="1"/>
  <c r="H1884" i="20"/>
  <c r="I1884" i="20" s="1"/>
  <c r="H1975" i="20"/>
  <c r="I1975" i="20" s="1"/>
  <c r="H1979" i="20"/>
  <c r="I1979" i="20" s="1"/>
  <c r="H1980" i="20"/>
  <c r="I1980" i="20" s="1"/>
  <c r="H1978" i="20"/>
  <c r="I1978" i="20" s="1"/>
  <c r="H1887" i="20"/>
  <c r="I1887" i="20" s="1"/>
  <c r="H1976" i="20"/>
  <c r="I1976" i="20" s="1"/>
  <c r="H1891" i="20"/>
  <c r="I1891" i="20" s="1"/>
  <c r="H1885" i="20"/>
  <c r="I1885" i="20" s="1"/>
  <c r="H1886" i="20"/>
  <c r="H1893" i="20"/>
  <c r="I1893" i="20" s="1"/>
  <c r="H1982" i="20"/>
  <c r="I1982" i="20" s="1"/>
  <c r="G1919" i="13"/>
  <c r="H1919" i="13" s="1"/>
  <c r="M1919" i="13" s="1"/>
  <c r="G367" i="13"/>
  <c r="H367" i="13" s="1"/>
  <c r="M367" i="13" s="1"/>
  <c r="I1745" i="13"/>
  <c r="J1745" i="13" s="1"/>
  <c r="I1741" i="13"/>
  <c r="I1742" i="13"/>
  <c r="I1744" i="13"/>
  <c r="I1743" i="13"/>
  <c r="M1314" i="13"/>
  <c r="I1312" i="13"/>
  <c r="I1314" i="13"/>
  <c r="I1313" i="13"/>
  <c r="I1311" i="13"/>
  <c r="I1315" i="13"/>
  <c r="I619" i="13"/>
  <c r="I620" i="13"/>
  <c r="I621" i="13"/>
  <c r="I622" i="13"/>
  <c r="H1441" i="20"/>
  <c r="H1442" i="20"/>
  <c r="I1442" i="20" s="1"/>
  <c r="H1438" i="20"/>
  <c r="I1438" i="20" s="1"/>
  <c r="H1444" i="20"/>
  <c r="I1444" i="20" s="1"/>
  <c r="H1445" i="20"/>
  <c r="I1445" i="20" s="1"/>
  <c r="H1440" i="20"/>
  <c r="I1440" i="20" s="1"/>
  <c r="H1443" i="20"/>
  <c r="I1443" i="20" s="1"/>
  <c r="H1446" i="20"/>
  <c r="I1446" i="20" s="1"/>
  <c r="H1447" i="20"/>
  <c r="I1447" i="20" s="1"/>
  <c r="H1439" i="20"/>
  <c r="I1439" i="20" s="1"/>
  <c r="H1448" i="20"/>
  <c r="I1448" i="20" s="1"/>
  <c r="M956" i="13"/>
  <c r="M957" i="13" s="1"/>
  <c r="M971" i="13"/>
  <c r="H190" i="20"/>
  <c r="I190" i="20" s="1"/>
  <c r="H199" i="20"/>
  <c r="I199" i="20" s="1"/>
  <c r="H197" i="20"/>
  <c r="I197" i="20" s="1"/>
  <c r="H194" i="20"/>
  <c r="I194" i="20" s="1"/>
  <c r="H191" i="20"/>
  <c r="I191" i="20" s="1"/>
  <c r="H192" i="20"/>
  <c r="I192" i="20" s="1"/>
  <c r="H195" i="20"/>
  <c r="I195" i="20" s="1"/>
  <c r="H198" i="20"/>
  <c r="I198" i="20" s="1"/>
  <c r="H196" i="20"/>
  <c r="H193" i="20"/>
  <c r="I193" i="20" s="1"/>
  <c r="H200" i="20"/>
  <c r="I200" i="20" s="1"/>
  <c r="H201" i="20"/>
  <c r="I201" i="20" s="1"/>
  <c r="I709" i="13"/>
  <c r="I708" i="13"/>
  <c r="I707" i="13"/>
  <c r="I710" i="13"/>
  <c r="I711" i="13"/>
  <c r="I712" i="13"/>
  <c r="I191" i="13"/>
  <c r="I190" i="13"/>
  <c r="I189" i="13"/>
  <c r="I192" i="13"/>
  <c r="H1087" i="20"/>
  <c r="I1087" i="20" s="1"/>
  <c r="H1084" i="20"/>
  <c r="I1084" i="20" s="1"/>
  <c r="H1085" i="20"/>
  <c r="H1086" i="20"/>
  <c r="I1086" i="20" s="1"/>
  <c r="H1089" i="20"/>
  <c r="I1089" i="20" s="1"/>
  <c r="H1083" i="20"/>
  <c r="I1083" i="20" s="1"/>
  <c r="H1090" i="20"/>
  <c r="I1090" i="20" s="1"/>
  <c r="H1088" i="20"/>
  <c r="I1088" i="20" s="1"/>
  <c r="H1082" i="20"/>
  <c r="I1082" i="20" s="1"/>
  <c r="H1091" i="20"/>
  <c r="I1091" i="20" s="1"/>
  <c r="I1483" i="13"/>
  <c r="I1485" i="13"/>
  <c r="I1487" i="13"/>
  <c r="I1484" i="13"/>
  <c r="I1486" i="13"/>
  <c r="I1488" i="13"/>
  <c r="E368" i="13"/>
  <c r="F368" i="13" s="1"/>
  <c r="M535" i="13"/>
  <c r="M522" i="13"/>
  <c r="M523" i="13" s="1"/>
  <c r="I363" i="13"/>
  <c r="I362" i="13"/>
  <c r="I365" i="13"/>
  <c r="I361" i="13"/>
  <c r="I364" i="13"/>
  <c r="I366" i="13"/>
  <c r="M26" i="20"/>
  <c r="H999" i="20"/>
  <c r="I999" i="20" s="1"/>
  <c r="H993" i="20"/>
  <c r="I993" i="20" s="1"/>
  <c r="H997" i="20"/>
  <c r="H1000" i="20"/>
  <c r="I1000" i="20" s="1"/>
  <c r="H996" i="20"/>
  <c r="I996" i="20" s="1"/>
  <c r="H994" i="20"/>
  <c r="I994" i="20" s="1"/>
  <c r="H998" i="20"/>
  <c r="I998" i="20" s="1"/>
  <c r="H995" i="20"/>
  <c r="I995" i="20" s="1"/>
  <c r="H1001" i="20"/>
  <c r="I1001" i="20" s="1"/>
  <c r="H1002" i="20"/>
  <c r="I1002" i="20" s="1"/>
  <c r="H1003" i="20"/>
  <c r="I1003" i="20" s="1"/>
  <c r="H638" i="20"/>
  <c r="I638" i="20" s="1"/>
  <c r="H642" i="20"/>
  <c r="H641" i="20"/>
  <c r="I641" i="20" s="1"/>
  <c r="H637" i="20"/>
  <c r="I637" i="20" s="1"/>
  <c r="H644" i="20"/>
  <c r="I644" i="20" s="1"/>
  <c r="H640" i="20"/>
  <c r="I640" i="20" s="1"/>
  <c r="H645" i="20"/>
  <c r="I645" i="20" s="1"/>
  <c r="H639" i="20"/>
  <c r="I639" i="20" s="1"/>
  <c r="H643" i="20"/>
  <c r="I643" i="20" s="1"/>
  <c r="H646" i="20"/>
  <c r="I646" i="20" s="1"/>
  <c r="I1656" i="13"/>
  <c r="I1657" i="13"/>
  <c r="I1659" i="13"/>
  <c r="J1659" i="13" s="1"/>
  <c r="I1658" i="13"/>
  <c r="I1655" i="13"/>
  <c r="J1655" i="13" s="1"/>
  <c r="I1660" i="13"/>
  <c r="J1660" i="13" s="1"/>
  <c r="I1661" i="13"/>
  <c r="J1661" i="13" s="1"/>
  <c r="G608" i="20"/>
  <c r="I1228" i="13"/>
  <c r="I1229" i="13"/>
  <c r="I1227" i="13"/>
  <c r="I1226" i="13"/>
  <c r="I1225" i="13"/>
  <c r="I1230" i="13"/>
  <c r="M1486" i="13"/>
  <c r="H281" i="20"/>
  <c r="I281" i="20" s="1"/>
  <c r="H285" i="20"/>
  <c r="H288" i="20"/>
  <c r="I288" i="20" s="1"/>
  <c r="H287" i="20"/>
  <c r="I287" i="20" s="1"/>
  <c r="H284" i="20"/>
  <c r="I284" i="20" s="1"/>
  <c r="H282" i="20"/>
  <c r="I282" i="20" s="1"/>
  <c r="H286" i="20"/>
  <c r="I286" i="20" s="1"/>
  <c r="H283" i="20"/>
  <c r="I283" i="20" s="1"/>
  <c r="H280" i="20"/>
  <c r="I280" i="20" s="1"/>
  <c r="H289" i="20"/>
  <c r="I289" i="20" s="1"/>
  <c r="H290" i="20"/>
  <c r="I290" i="20" s="1"/>
  <c r="E1058" i="13"/>
  <c r="F1058" i="13" s="1"/>
  <c r="D1059" i="13" s="1"/>
  <c r="J1231" i="13"/>
  <c r="D1183" i="20"/>
  <c r="G1182" i="20"/>
  <c r="H1182" i="20"/>
  <c r="D625" i="13"/>
  <c r="G624" i="13"/>
  <c r="D978" i="13"/>
  <c r="G977" i="13"/>
  <c r="D1406" i="13"/>
  <c r="G1405" i="13"/>
  <c r="D649" i="20"/>
  <c r="G648" i="20"/>
  <c r="H648" i="20"/>
  <c r="D1576" i="13"/>
  <c r="G1575" i="13"/>
  <c r="D1146" i="13"/>
  <c r="G1145" i="13"/>
  <c r="D1807" i="20"/>
  <c r="G1806" i="20"/>
  <c r="H1806" i="20"/>
  <c r="D203" i="20"/>
  <c r="G202" i="20"/>
  <c r="H202" i="20"/>
  <c r="D1271" i="20"/>
  <c r="G1270" i="20"/>
  <c r="H1270" i="20"/>
  <c r="D1984" i="20"/>
  <c r="G1983" i="20"/>
  <c r="H1983" i="20"/>
  <c r="E826" i="20"/>
  <c r="F826" i="20" s="1"/>
  <c r="J975" i="13"/>
  <c r="E110" i="13"/>
  <c r="F110" i="13" s="1"/>
  <c r="E1450" i="20"/>
  <c r="F1450" i="20" s="1"/>
  <c r="E381" i="20"/>
  <c r="F381" i="20" s="1"/>
  <c r="I1919" i="13"/>
  <c r="O1919" i="13" s="1"/>
  <c r="E1093" i="20"/>
  <c r="F1093" i="20" s="1"/>
  <c r="E1540" i="20"/>
  <c r="F1540" i="20" s="1"/>
  <c r="J1403" i="13"/>
  <c r="I1359" i="20"/>
  <c r="I737" i="20"/>
  <c r="E194" i="13"/>
  <c r="F194" i="13" s="1"/>
  <c r="H1626" i="20"/>
  <c r="J623" i="13"/>
  <c r="O623" i="13"/>
  <c r="P623" i="13" s="1"/>
  <c r="H825" i="20"/>
  <c r="E1005" i="20"/>
  <c r="F1005" i="20" s="1"/>
  <c r="D1006" i="20" s="1"/>
  <c r="H976" i="13"/>
  <c r="I976" i="13"/>
  <c r="G111" i="20"/>
  <c r="G469" i="20"/>
  <c r="E1920" i="13"/>
  <c r="F1920" i="13" s="1"/>
  <c r="J800" i="13"/>
  <c r="H713" i="13"/>
  <c r="I713" i="13"/>
  <c r="O713" i="13" s="1"/>
  <c r="E1895" i="20"/>
  <c r="F1895" i="20" s="1"/>
  <c r="D1896" i="20" s="1"/>
  <c r="H801" i="13"/>
  <c r="M801" i="13" s="1"/>
  <c r="I801" i="13"/>
  <c r="O801" i="13" s="1"/>
  <c r="E1627" i="20"/>
  <c r="F1627" i="20" s="1"/>
  <c r="J1144" i="13"/>
  <c r="E1233" i="13"/>
  <c r="F1233" i="13" s="1"/>
  <c r="D1234" i="13" s="1"/>
  <c r="E916" i="20"/>
  <c r="F916" i="20" s="1"/>
  <c r="J1574" i="13"/>
  <c r="G1626" i="20"/>
  <c r="G825" i="20"/>
  <c r="G887" i="13"/>
  <c r="G109" i="13"/>
  <c r="H1449" i="20"/>
  <c r="G1232" i="13"/>
  <c r="H915" i="20"/>
  <c r="H380" i="20"/>
  <c r="J886" i="13"/>
  <c r="O886" i="13"/>
  <c r="H1092" i="20"/>
  <c r="J1918" i="13"/>
  <c r="H1539" i="20"/>
  <c r="E714" i="13"/>
  <c r="F714" i="13" s="1"/>
  <c r="H1316" i="13"/>
  <c r="M1316" i="13" s="1"/>
  <c r="I1316" i="13"/>
  <c r="O1316" i="13" s="1"/>
  <c r="E1360" i="20"/>
  <c r="F1360" i="20" s="1"/>
  <c r="E802" i="13"/>
  <c r="F802" i="13" s="1"/>
  <c r="D803" i="13" s="1"/>
  <c r="E738" i="20"/>
  <c r="F738" i="20" s="1"/>
  <c r="D739" i="20" s="1"/>
  <c r="H1662" i="13"/>
  <c r="I1662" i="13"/>
  <c r="H280" i="13"/>
  <c r="I280" i="13"/>
  <c r="H1404" i="13"/>
  <c r="I1404" i="13"/>
  <c r="E888" i="13"/>
  <c r="F888" i="13" s="1"/>
  <c r="I1538" i="20"/>
  <c r="G1449" i="20"/>
  <c r="M107" i="13"/>
  <c r="G915" i="20"/>
  <c r="G380" i="20"/>
  <c r="M886" i="13"/>
  <c r="I647" i="20"/>
  <c r="G1092" i="20"/>
  <c r="G1539" i="20"/>
  <c r="I1894" i="20"/>
  <c r="E1317" i="13"/>
  <c r="F1317" i="13" s="1"/>
  <c r="H193" i="13"/>
  <c r="I193" i="13"/>
  <c r="E1663" i="13"/>
  <c r="F1663" i="13" s="1"/>
  <c r="D1664" i="13" s="1"/>
  <c r="E281" i="13"/>
  <c r="F281" i="13" s="1"/>
  <c r="I40" i="49" l="1"/>
  <c r="I41" i="49" s="1"/>
  <c r="I42" i="49" s="1"/>
  <c r="I43" i="49" s="1"/>
  <c r="I44" i="49" s="1"/>
  <c r="I45" i="49" s="1"/>
  <c r="I46" i="49" s="1"/>
  <c r="I47" i="49" s="1"/>
  <c r="I48" i="49" s="1"/>
  <c r="I49" i="49" s="1"/>
  <c r="I50" i="49" s="1"/>
  <c r="E93" i="2"/>
  <c r="K39" i="49"/>
  <c r="D40" i="49" s="1"/>
  <c r="H39" i="49"/>
  <c r="K40" i="50"/>
  <c r="D41" i="50" s="1"/>
  <c r="H40" i="50"/>
  <c r="C69" i="11"/>
  <c r="A69" i="11"/>
  <c r="M1816" i="13"/>
  <c r="M1817" i="13" s="1"/>
  <c r="M784" i="13"/>
  <c r="M785" i="13" s="1"/>
  <c r="J1744" i="13"/>
  <c r="O1744" i="13"/>
  <c r="P1744" i="13" s="1"/>
  <c r="J538" i="13"/>
  <c r="O538" i="13"/>
  <c r="P538" i="13" s="1"/>
  <c r="P801" i="13"/>
  <c r="J108" i="13"/>
  <c r="G1748" i="13"/>
  <c r="H1748" i="13" s="1"/>
  <c r="I1746" i="13"/>
  <c r="J1746" i="13" s="1"/>
  <c r="I452" i="13"/>
  <c r="O452" i="13" s="1"/>
  <c r="P1919" i="13"/>
  <c r="P1316" i="13"/>
  <c r="J537" i="13"/>
  <c r="O537" i="13"/>
  <c r="P537" i="13" s="1"/>
  <c r="J1230" i="13"/>
  <c r="O1230" i="13"/>
  <c r="P1230" i="13" s="1"/>
  <c r="J1402" i="13"/>
  <c r="O1402" i="13"/>
  <c r="P1402" i="13" s="1"/>
  <c r="J1488" i="13"/>
  <c r="O1488" i="13"/>
  <c r="P1488" i="13" s="1"/>
  <c r="J1743" i="13"/>
  <c r="O1743" i="13"/>
  <c r="P1743" i="13" s="1"/>
  <c r="J1831" i="13"/>
  <c r="O1831" i="13"/>
  <c r="P1831" i="13" s="1"/>
  <c r="I367" i="13"/>
  <c r="O367" i="13" s="1"/>
  <c r="P367" i="13" s="1"/>
  <c r="I1832" i="13"/>
  <c r="N1816" i="13" s="1"/>
  <c r="O107" i="13"/>
  <c r="P107" i="13" s="1"/>
  <c r="K41" i="47"/>
  <c r="D42" i="47" s="1"/>
  <c r="H41" i="47"/>
  <c r="I111" i="20"/>
  <c r="I1004" i="20"/>
  <c r="J799" i="13"/>
  <c r="O799" i="13"/>
  <c r="P799" i="13" s="1"/>
  <c r="J1487" i="13"/>
  <c r="O1487" i="13"/>
  <c r="P1487" i="13" s="1"/>
  <c r="J1830" i="13"/>
  <c r="O1830" i="13"/>
  <c r="P1830" i="13" s="1"/>
  <c r="M713" i="13"/>
  <c r="P713" i="13" s="1"/>
  <c r="J1315" i="13"/>
  <c r="O1315" i="13"/>
  <c r="P1315" i="13" s="1"/>
  <c r="J1742" i="13"/>
  <c r="O1742" i="13"/>
  <c r="P1742" i="13" s="1"/>
  <c r="J1143" i="13"/>
  <c r="O1143" i="13"/>
  <c r="P1143" i="13" s="1"/>
  <c r="J1573" i="13"/>
  <c r="O1573" i="13"/>
  <c r="P1573" i="13" s="1"/>
  <c r="J536" i="13"/>
  <c r="O536" i="13"/>
  <c r="P536" i="13" s="1"/>
  <c r="J1229" i="13"/>
  <c r="O1229" i="13"/>
  <c r="P1229" i="13" s="1"/>
  <c r="J1401" i="13"/>
  <c r="O1401" i="13"/>
  <c r="P1401" i="13" s="1"/>
  <c r="J1057" i="13"/>
  <c r="O1057" i="13"/>
  <c r="P1057" i="13" s="1"/>
  <c r="I1716" i="20"/>
  <c r="I291" i="20"/>
  <c r="F46" i="50"/>
  <c r="F47" i="47"/>
  <c r="B87" i="2"/>
  <c r="B89" i="2" s="1"/>
  <c r="B90" i="2" s="1"/>
  <c r="E94" i="2"/>
  <c r="E87" i="2"/>
  <c r="A93" i="41"/>
  <c r="A94" i="41" s="1"/>
  <c r="F46" i="49"/>
  <c r="G540" i="13"/>
  <c r="H540" i="13" s="1"/>
  <c r="G1747" i="13"/>
  <c r="H1747" i="13" s="1"/>
  <c r="H738" i="20"/>
  <c r="D715" i="13"/>
  <c r="E715" i="13" s="1"/>
  <c r="F715" i="13" s="1"/>
  <c r="D716" i="13" s="1"/>
  <c r="G714" i="13"/>
  <c r="H714" i="13" s="1"/>
  <c r="M714" i="13" s="1"/>
  <c r="D1541" i="20"/>
  <c r="H1540" i="20"/>
  <c r="G1540" i="20"/>
  <c r="D827" i="20"/>
  <c r="E827" i="20" s="1"/>
  <c r="F827" i="20" s="1"/>
  <c r="H826" i="20"/>
  <c r="D369" i="13"/>
  <c r="G368" i="13"/>
  <c r="D1094" i="20"/>
  <c r="E1094" i="20" s="1"/>
  <c r="F1094" i="20" s="1"/>
  <c r="H1093" i="20"/>
  <c r="G1093" i="20"/>
  <c r="J192" i="13"/>
  <c r="O192" i="13"/>
  <c r="P192" i="13" s="1"/>
  <c r="J1312" i="13"/>
  <c r="O1312" i="13"/>
  <c r="P1312" i="13" s="1"/>
  <c r="O1917" i="13"/>
  <c r="P1917" i="13" s="1"/>
  <c r="J1917" i="13"/>
  <c r="J449" i="13"/>
  <c r="O449" i="13"/>
  <c r="P449" i="13" s="1"/>
  <c r="E454" i="13"/>
  <c r="F454" i="13" s="1"/>
  <c r="E1059" i="13"/>
  <c r="F1059" i="13" s="1"/>
  <c r="D1060" i="13" s="1"/>
  <c r="O1225" i="13"/>
  <c r="P1225" i="13" s="1"/>
  <c r="J1225" i="13"/>
  <c r="N1214" i="13"/>
  <c r="J1228" i="13"/>
  <c r="O1228" i="13"/>
  <c r="P1228" i="13" s="1"/>
  <c r="J1656" i="13"/>
  <c r="O1656" i="13"/>
  <c r="P1656" i="13" s="1"/>
  <c r="O366" i="13"/>
  <c r="P366" i="13" s="1"/>
  <c r="J366" i="13"/>
  <c r="J362" i="13"/>
  <c r="O362" i="13"/>
  <c r="P362" i="13" s="1"/>
  <c r="O1484" i="13"/>
  <c r="P1484" i="13" s="1"/>
  <c r="J1484" i="13"/>
  <c r="J190" i="13"/>
  <c r="O190" i="13"/>
  <c r="P190" i="13" s="1"/>
  <c r="J710" i="13"/>
  <c r="O710" i="13"/>
  <c r="P710" i="13" s="1"/>
  <c r="J620" i="13"/>
  <c r="O620" i="13"/>
  <c r="P620" i="13" s="1"/>
  <c r="O1313" i="13"/>
  <c r="P1313" i="13" s="1"/>
  <c r="J1313" i="13"/>
  <c r="O1741" i="13"/>
  <c r="P1741" i="13" s="1"/>
  <c r="N1730" i="13"/>
  <c r="J1741" i="13"/>
  <c r="J1397" i="13"/>
  <c r="O1397" i="13"/>
  <c r="P1397" i="13" s="1"/>
  <c r="J1140" i="13"/>
  <c r="O1140" i="13"/>
  <c r="P1140" i="13" s="1"/>
  <c r="H1489" i="13"/>
  <c r="I1489" i="13"/>
  <c r="O1489" i="13" s="1"/>
  <c r="J970" i="13"/>
  <c r="O970" i="13"/>
  <c r="P970" i="13" s="1"/>
  <c r="J447" i="13"/>
  <c r="O447" i="13"/>
  <c r="P447" i="13" s="1"/>
  <c r="J451" i="13"/>
  <c r="O451" i="13"/>
  <c r="P451" i="13" s="1"/>
  <c r="O1055" i="13"/>
  <c r="P1055" i="13" s="1"/>
  <c r="J1055" i="13"/>
  <c r="O1056" i="13"/>
  <c r="P1056" i="13" s="1"/>
  <c r="J1056" i="13"/>
  <c r="O1569" i="13"/>
  <c r="P1569" i="13" s="1"/>
  <c r="J1569" i="13"/>
  <c r="J883" i="13"/>
  <c r="O883" i="13"/>
  <c r="P883" i="13" s="1"/>
  <c r="I109" i="20"/>
  <c r="N88" i="20"/>
  <c r="O103" i="13"/>
  <c r="P103" i="13" s="1"/>
  <c r="J103" i="13"/>
  <c r="J279" i="13"/>
  <c r="O279" i="13"/>
  <c r="P279" i="13" s="1"/>
  <c r="J275" i="13"/>
  <c r="O275" i="13"/>
  <c r="P275" i="13" s="1"/>
  <c r="M452" i="13"/>
  <c r="O1227" i="13"/>
  <c r="P1227" i="13" s="1"/>
  <c r="J1227" i="13"/>
  <c r="J361" i="13"/>
  <c r="O361" i="13"/>
  <c r="P361" i="13" s="1"/>
  <c r="N1386" i="13"/>
  <c r="J1400" i="13"/>
  <c r="J1399" i="13"/>
  <c r="O1399" i="13"/>
  <c r="P1399" i="13" s="1"/>
  <c r="O968" i="13"/>
  <c r="P968" i="13" s="1"/>
  <c r="J968" i="13"/>
  <c r="N784" i="13"/>
  <c r="O798" i="13"/>
  <c r="P798" i="13" s="1"/>
  <c r="J798" i="13"/>
  <c r="I548" i="20"/>
  <c r="H608" i="20"/>
  <c r="I550" i="20"/>
  <c r="N536" i="20"/>
  <c r="N537" i="20" s="1"/>
  <c r="G802" i="13"/>
  <c r="I802" i="13" s="1"/>
  <c r="O1226" i="13"/>
  <c r="P1226" i="13" s="1"/>
  <c r="J1226" i="13"/>
  <c r="N1644" i="13"/>
  <c r="J1658" i="13"/>
  <c r="N625" i="20"/>
  <c r="N626" i="20" s="1"/>
  <c r="I642" i="20"/>
  <c r="O364" i="13"/>
  <c r="P364" i="13" s="1"/>
  <c r="J364" i="13"/>
  <c r="J363" i="13"/>
  <c r="O363" i="13"/>
  <c r="P363" i="13" s="1"/>
  <c r="J191" i="13"/>
  <c r="O191" i="13"/>
  <c r="P191" i="13" s="1"/>
  <c r="J707" i="13"/>
  <c r="O707" i="13"/>
  <c r="P707" i="13" s="1"/>
  <c r="I1441" i="20"/>
  <c r="N1426" i="20"/>
  <c r="N1427" i="20" s="1"/>
  <c r="O619" i="13"/>
  <c r="P619" i="13" s="1"/>
  <c r="J619" i="13"/>
  <c r="J1314" i="13"/>
  <c r="O1314" i="13"/>
  <c r="P1314" i="13" s="1"/>
  <c r="I1977" i="20"/>
  <c r="N1961" i="20"/>
  <c r="N1962" i="20" s="1"/>
  <c r="J1139" i="13"/>
  <c r="O1139" i="13"/>
  <c r="P1139" i="13" s="1"/>
  <c r="E1490" i="13"/>
  <c r="F1490" i="13" s="1"/>
  <c r="O448" i="13"/>
  <c r="P448" i="13" s="1"/>
  <c r="J448" i="13"/>
  <c r="O450" i="13"/>
  <c r="P450" i="13" s="1"/>
  <c r="J450" i="13"/>
  <c r="O1054" i="13"/>
  <c r="P1054" i="13" s="1"/>
  <c r="J1054" i="13"/>
  <c r="N714" i="20"/>
  <c r="N715" i="20" s="1"/>
  <c r="I731" i="20"/>
  <c r="N892" i="20"/>
  <c r="N893" i="20" s="1"/>
  <c r="I909" i="20"/>
  <c r="J796" i="13"/>
  <c r="O796" i="13"/>
  <c r="P796" i="13" s="1"/>
  <c r="J795" i="13"/>
  <c r="O795" i="13"/>
  <c r="P795" i="13" s="1"/>
  <c r="O1572" i="13"/>
  <c r="P1572" i="13" s="1"/>
  <c r="J1572" i="13"/>
  <c r="G453" i="13"/>
  <c r="I1708" i="20"/>
  <c r="N1693" i="20"/>
  <c r="N1694" i="20" s="1"/>
  <c r="I818" i="20"/>
  <c r="N803" i="20"/>
  <c r="N804" i="20" s="1"/>
  <c r="N1248" i="20"/>
  <c r="N1249" i="20" s="1"/>
  <c r="I1263" i="20"/>
  <c r="O885" i="13"/>
  <c r="P885" i="13" s="1"/>
  <c r="J885" i="13"/>
  <c r="O884" i="13"/>
  <c r="P884" i="13" s="1"/>
  <c r="J884" i="13"/>
  <c r="I1352" i="20"/>
  <c r="N1337" i="20"/>
  <c r="N1338" i="20" s="1"/>
  <c r="J1829" i="13"/>
  <c r="O1829" i="13"/>
  <c r="P1829" i="13" s="1"/>
  <c r="O1828" i="13"/>
  <c r="P1828" i="13" s="1"/>
  <c r="J1828" i="13"/>
  <c r="O106" i="13"/>
  <c r="P106" i="13" s="1"/>
  <c r="J106" i="13"/>
  <c r="J277" i="13"/>
  <c r="O277" i="13"/>
  <c r="P277" i="13" s="1"/>
  <c r="N522" i="13"/>
  <c r="J535" i="13"/>
  <c r="O535" i="13"/>
  <c r="P535" i="13" s="1"/>
  <c r="N358" i="20"/>
  <c r="N359" i="20" s="1"/>
  <c r="I375" i="20"/>
  <c r="O102" i="13"/>
  <c r="P102" i="13" s="1"/>
  <c r="J102" i="13"/>
  <c r="O276" i="13"/>
  <c r="P276" i="13" s="1"/>
  <c r="J276" i="13"/>
  <c r="I539" i="13"/>
  <c r="J539" i="13" s="1"/>
  <c r="J533" i="13"/>
  <c r="O533" i="13"/>
  <c r="P533" i="13" s="1"/>
  <c r="E1833" i="13"/>
  <c r="F1833" i="13" s="1"/>
  <c r="O1485" i="13"/>
  <c r="P1485" i="13" s="1"/>
  <c r="J1485" i="13"/>
  <c r="J712" i="13"/>
  <c r="O712" i="13"/>
  <c r="P712" i="13" s="1"/>
  <c r="J708" i="13"/>
  <c r="O708" i="13"/>
  <c r="P708" i="13" s="1"/>
  <c r="O622" i="13"/>
  <c r="P622" i="13" s="1"/>
  <c r="J622" i="13"/>
  <c r="O1142" i="13"/>
  <c r="P1142" i="13" s="1"/>
  <c r="J1142" i="13"/>
  <c r="J969" i="13"/>
  <c r="O969" i="13"/>
  <c r="P969" i="13" s="1"/>
  <c r="I464" i="20"/>
  <c r="N447" i="20"/>
  <c r="N448" i="20" s="1"/>
  <c r="O1571" i="13"/>
  <c r="P1571" i="13" s="1"/>
  <c r="J1571" i="13"/>
  <c r="J881" i="13"/>
  <c r="O881" i="13"/>
  <c r="P881" i="13" s="1"/>
  <c r="G1058" i="13"/>
  <c r="N268" i="20"/>
  <c r="N269" i="20" s="1"/>
  <c r="I285" i="20"/>
  <c r="O1657" i="13"/>
  <c r="P1657" i="13" s="1"/>
  <c r="J1657" i="13"/>
  <c r="I997" i="20"/>
  <c r="N981" i="20"/>
  <c r="N982" i="20" s="1"/>
  <c r="J365" i="13"/>
  <c r="O365" i="13"/>
  <c r="P365" i="13" s="1"/>
  <c r="O1486" i="13"/>
  <c r="P1486" i="13" s="1"/>
  <c r="J1486" i="13"/>
  <c r="J1483" i="13"/>
  <c r="O1483" i="13"/>
  <c r="P1483" i="13" s="1"/>
  <c r="I1085" i="20"/>
  <c r="N1070" i="20"/>
  <c r="N1071" i="20" s="1"/>
  <c r="J189" i="13"/>
  <c r="O189" i="13"/>
  <c r="P189" i="13" s="1"/>
  <c r="J711" i="13"/>
  <c r="O711" i="13"/>
  <c r="P711" i="13" s="1"/>
  <c r="O709" i="13"/>
  <c r="P709" i="13" s="1"/>
  <c r="J709" i="13"/>
  <c r="I196" i="20"/>
  <c r="N178" i="20"/>
  <c r="N179" i="20" s="1"/>
  <c r="J621" i="13"/>
  <c r="O621" i="13"/>
  <c r="P621" i="13" s="1"/>
  <c r="J1311" i="13"/>
  <c r="O1311" i="13"/>
  <c r="P1311" i="13" s="1"/>
  <c r="N1872" i="20"/>
  <c r="N1873" i="20" s="1"/>
  <c r="I1886" i="20"/>
  <c r="J1141" i="13"/>
  <c r="O1141" i="13"/>
  <c r="P1141" i="13" s="1"/>
  <c r="N1783" i="20"/>
  <c r="N1784" i="20" s="1"/>
  <c r="I1795" i="20"/>
  <c r="F541" i="13"/>
  <c r="D542" i="13" s="1"/>
  <c r="O971" i="13"/>
  <c r="P971" i="13" s="1"/>
  <c r="J971" i="13"/>
  <c r="N956" i="13"/>
  <c r="O967" i="13"/>
  <c r="P967" i="13" s="1"/>
  <c r="J967" i="13"/>
  <c r="O1053" i="13"/>
  <c r="P1053" i="13" s="1"/>
  <c r="J1053" i="13"/>
  <c r="J797" i="13"/>
  <c r="O797" i="13"/>
  <c r="P797" i="13" s="1"/>
  <c r="O1570" i="13"/>
  <c r="P1570" i="13" s="1"/>
  <c r="J1570" i="13"/>
  <c r="N1515" i="20"/>
  <c r="N1516" i="20" s="1"/>
  <c r="I1530" i="20"/>
  <c r="J882" i="13"/>
  <c r="O882" i="13"/>
  <c r="P882" i="13" s="1"/>
  <c r="N1604" i="20"/>
  <c r="N1605" i="20" s="1"/>
  <c r="I1619" i="20"/>
  <c r="N1159" i="20"/>
  <c r="N1160" i="20" s="1"/>
  <c r="I1174" i="20"/>
  <c r="O104" i="13"/>
  <c r="P104" i="13" s="1"/>
  <c r="J104" i="13"/>
  <c r="J105" i="13"/>
  <c r="O105" i="13"/>
  <c r="P105" i="13" s="1"/>
  <c r="O278" i="13"/>
  <c r="P278" i="13" s="1"/>
  <c r="J278" i="13"/>
  <c r="J534" i="13"/>
  <c r="O534" i="13"/>
  <c r="P534" i="13" s="1"/>
  <c r="J976" i="13"/>
  <c r="I648" i="20"/>
  <c r="I1539" i="20"/>
  <c r="J1404" i="13"/>
  <c r="P886" i="13"/>
  <c r="D1451" i="20"/>
  <c r="G1450" i="20"/>
  <c r="H1450" i="20"/>
  <c r="D113" i="20"/>
  <c r="H112" i="20"/>
  <c r="G112" i="20"/>
  <c r="D382" i="20"/>
  <c r="G381" i="20"/>
  <c r="H381" i="20"/>
  <c r="D282" i="13"/>
  <c r="G281" i="13"/>
  <c r="D917" i="20"/>
  <c r="H916" i="20"/>
  <c r="G916" i="20"/>
  <c r="D1718" i="20"/>
  <c r="H1717" i="20"/>
  <c r="G1717" i="20"/>
  <c r="D195" i="13"/>
  <c r="G194" i="13"/>
  <c r="D111" i="13"/>
  <c r="G110" i="13"/>
  <c r="D1628" i="20"/>
  <c r="H1627" i="20"/>
  <c r="G1627" i="20"/>
  <c r="D471" i="20"/>
  <c r="G470" i="20"/>
  <c r="H470" i="20"/>
  <c r="D1318" i="13"/>
  <c r="G1317" i="13"/>
  <c r="D889" i="13"/>
  <c r="G888" i="13"/>
  <c r="D1361" i="20"/>
  <c r="H1360" i="20"/>
  <c r="G1360" i="20"/>
  <c r="D1921" i="13"/>
  <c r="G1920" i="13"/>
  <c r="O193" i="13"/>
  <c r="J193" i="13"/>
  <c r="J280" i="13"/>
  <c r="O280" i="13"/>
  <c r="H109" i="13"/>
  <c r="I109" i="13"/>
  <c r="E1234" i="13"/>
  <c r="F1234" i="13" s="1"/>
  <c r="D1235" i="13" s="1"/>
  <c r="E293" i="20"/>
  <c r="F293" i="20" s="1"/>
  <c r="D294" i="20" s="1"/>
  <c r="E1271" i="20"/>
  <c r="F1271" i="20" s="1"/>
  <c r="D1272" i="20" s="1"/>
  <c r="I1806" i="20"/>
  <c r="H1145" i="13"/>
  <c r="I1145" i="13"/>
  <c r="O1145" i="13" s="1"/>
  <c r="E625" i="13"/>
  <c r="F625" i="13" s="1"/>
  <c r="M193" i="13"/>
  <c r="M280" i="13"/>
  <c r="G738" i="20"/>
  <c r="E803" i="13"/>
  <c r="F803" i="13" s="1"/>
  <c r="I1092" i="20"/>
  <c r="G826" i="20"/>
  <c r="E1984" i="20"/>
  <c r="F1984" i="20" s="1"/>
  <c r="E203" i="20"/>
  <c r="F203" i="20" s="1"/>
  <c r="D204" i="20" s="1"/>
  <c r="E1146" i="13"/>
  <c r="F1146" i="13" s="1"/>
  <c r="H977" i="13"/>
  <c r="I977" i="13"/>
  <c r="I1182" i="20"/>
  <c r="H1232" i="13"/>
  <c r="I1232" i="13"/>
  <c r="E1896" i="20"/>
  <c r="F1896" i="20" s="1"/>
  <c r="E1006" i="20"/>
  <c r="F1006" i="20" s="1"/>
  <c r="J1919" i="13"/>
  <c r="E1406" i="13"/>
  <c r="F1406" i="13" s="1"/>
  <c r="D1407" i="13" s="1"/>
  <c r="G1663" i="13"/>
  <c r="J1662" i="13"/>
  <c r="I380" i="20"/>
  <c r="I1449" i="20"/>
  <c r="H887" i="13"/>
  <c r="I887" i="13"/>
  <c r="G1233" i="13"/>
  <c r="H1895" i="20"/>
  <c r="J713" i="13"/>
  <c r="H292" i="20"/>
  <c r="H1005" i="20"/>
  <c r="I1626" i="20"/>
  <c r="I1270" i="20"/>
  <c r="E1749" i="13"/>
  <c r="F1749" i="13" s="1"/>
  <c r="E1807" i="20"/>
  <c r="F1807" i="20" s="1"/>
  <c r="H1575" i="13"/>
  <c r="I1575" i="13"/>
  <c r="O1575" i="13" s="1"/>
  <c r="E649" i="20"/>
  <c r="F649" i="20" s="1"/>
  <c r="E978" i="13"/>
  <c r="F978" i="13" s="1"/>
  <c r="D979" i="13" s="1"/>
  <c r="E1664" i="13"/>
  <c r="F1664" i="13" s="1"/>
  <c r="D1665" i="13" s="1"/>
  <c r="E739" i="20"/>
  <c r="F739" i="20" s="1"/>
  <c r="D740" i="20" s="1"/>
  <c r="J1316" i="13"/>
  <c r="I915" i="20"/>
  <c r="J801" i="13"/>
  <c r="G1895" i="20"/>
  <c r="G292" i="20"/>
  <c r="G1005" i="20"/>
  <c r="I825" i="20"/>
  <c r="I469" i="20"/>
  <c r="I1983" i="20"/>
  <c r="I202" i="20"/>
  <c r="E1576" i="13"/>
  <c r="F1576" i="13" s="1"/>
  <c r="H1405" i="13"/>
  <c r="I1405" i="13"/>
  <c r="H624" i="13"/>
  <c r="I624" i="13"/>
  <c r="E1183" i="20"/>
  <c r="F1183" i="20" s="1"/>
  <c r="D1184" i="20" s="1"/>
  <c r="K40" i="49" l="1"/>
  <c r="D41" i="49" s="1"/>
  <c r="H40" i="49"/>
  <c r="K41" i="50"/>
  <c r="D42" i="50" s="1"/>
  <c r="H41" i="50"/>
  <c r="I53" i="49"/>
  <c r="I55" i="49" s="1"/>
  <c r="B94" i="41"/>
  <c r="N1472" i="13"/>
  <c r="N1473" i="13" s="1"/>
  <c r="I1748" i="13"/>
  <c r="N1558" i="13"/>
  <c r="H802" i="13"/>
  <c r="J802" i="13" s="1"/>
  <c r="M1145" i="13"/>
  <c r="P1145" i="13" s="1"/>
  <c r="M1128" i="13"/>
  <c r="M1129" i="13" s="1"/>
  <c r="N1128" i="13"/>
  <c r="N1129" i="13" s="1"/>
  <c r="J1832" i="13"/>
  <c r="O1832" i="13"/>
  <c r="P1832" i="13" s="1"/>
  <c r="M1575" i="13"/>
  <c r="P1575" i="13" s="1"/>
  <c r="M1558" i="13"/>
  <c r="M1559" i="13" s="1"/>
  <c r="M1489" i="13"/>
  <c r="P1489" i="13" s="1"/>
  <c r="M1472" i="13"/>
  <c r="M1473" i="13" s="1"/>
  <c r="J452" i="13"/>
  <c r="J367" i="13"/>
  <c r="I714" i="13"/>
  <c r="J714" i="13" s="1"/>
  <c r="I540" i="13"/>
  <c r="J540" i="13" s="1"/>
  <c r="K42" i="47"/>
  <c r="D43" i="47" s="1"/>
  <c r="H42" i="47"/>
  <c r="O887" i="13"/>
  <c r="M887" i="13"/>
  <c r="I1540" i="20"/>
  <c r="I738" i="20"/>
  <c r="B91" i="2"/>
  <c r="I1747" i="13"/>
  <c r="J1747" i="13" s="1"/>
  <c r="A95" i="41"/>
  <c r="B95" i="41"/>
  <c r="F48" i="47"/>
  <c r="G978" i="13"/>
  <c r="H978" i="13" s="1"/>
  <c r="E1541" i="20"/>
  <c r="F1541" i="20" s="1"/>
  <c r="I826" i="20"/>
  <c r="P452" i="13"/>
  <c r="F47" i="49"/>
  <c r="F47" i="50"/>
  <c r="I1093" i="20"/>
  <c r="I608" i="20"/>
  <c r="D455" i="13"/>
  <c r="G454" i="13"/>
  <c r="D1834" i="13"/>
  <c r="G1833" i="13"/>
  <c r="D1095" i="20"/>
  <c r="E1095" i="20" s="1"/>
  <c r="F1095" i="20" s="1"/>
  <c r="G1094" i="20"/>
  <c r="D1491" i="13"/>
  <c r="G1490" i="13"/>
  <c r="D1808" i="20"/>
  <c r="E1808" i="20" s="1"/>
  <c r="F1808" i="20" s="1"/>
  <c r="D1809" i="20" s="1"/>
  <c r="G1807" i="20"/>
  <c r="E1060" i="13"/>
  <c r="F1060" i="13" s="1"/>
  <c r="E369" i="13"/>
  <c r="F369" i="13" s="1"/>
  <c r="G203" i="20"/>
  <c r="G715" i="13"/>
  <c r="I715" i="13" s="1"/>
  <c r="O715" i="13" s="1"/>
  <c r="G293" i="20"/>
  <c r="G541" i="13"/>
  <c r="N1645" i="13"/>
  <c r="O1644" i="13"/>
  <c r="O1645" i="13" s="1"/>
  <c r="N1387" i="13"/>
  <c r="O1386" i="13"/>
  <c r="O1387" i="13" s="1"/>
  <c r="O956" i="13"/>
  <c r="O957" i="13" s="1"/>
  <c r="N957" i="13"/>
  <c r="F542" i="13"/>
  <c r="D543" i="13" s="1"/>
  <c r="H453" i="13"/>
  <c r="I453" i="13"/>
  <c r="N89" i="20"/>
  <c r="N26" i="20"/>
  <c r="O26" i="20" s="1"/>
  <c r="O1730" i="13"/>
  <c r="O1731" i="13" s="1"/>
  <c r="N1731" i="13"/>
  <c r="G1059" i="13"/>
  <c r="H1058" i="13"/>
  <c r="I1058" i="13"/>
  <c r="G1664" i="13"/>
  <c r="H1664" i="13" s="1"/>
  <c r="O522" i="13"/>
  <c r="O523" i="13" s="1"/>
  <c r="N523" i="13"/>
  <c r="O1816" i="13"/>
  <c r="O1817" i="13" s="1"/>
  <c r="N1817" i="13"/>
  <c r="O784" i="13"/>
  <c r="O785" i="13" s="1"/>
  <c r="N785" i="13"/>
  <c r="J1489" i="13"/>
  <c r="N1215" i="13"/>
  <c r="O1214" i="13"/>
  <c r="O1215" i="13" s="1"/>
  <c r="H368" i="13"/>
  <c r="I368" i="13"/>
  <c r="I1627" i="20"/>
  <c r="I381" i="20"/>
  <c r="J977" i="13"/>
  <c r="D626" i="13"/>
  <c r="G625" i="13"/>
  <c r="D1897" i="20"/>
  <c r="G1896" i="20"/>
  <c r="H1896" i="20"/>
  <c r="D804" i="13"/>
  <c r="G803" i="13"/>
  <c r="D828" i="20"/>
  <c r="G827" i="20"/>
  <c r="H827" i="20"/>
  <c r="D1750" i="13"/>
  <c r="G1749" i="13"/>
  <c r="D1985" i="20"/>
  <c r="G1984" i="20"/>
  <c r="H1984" i="20"/>
  <c r="D650" i="20"/>
  <c r="H649" i="20"/>
  <c r="G649" i="20"/>
  <c r="D1147" i="13"/>
  <c r="G1146" i="13"/>
  <c r="D1577" i="13"/>
  <c r="G1576" i="13"/>
  <c r="D1007" i="20"/>
  <c r="H1006" i="20"/>
  <c r="G1006" i="20"/>
  <c r="E1272" i="20"/>
  <c r="F1272" i="20" s="1"/>
  <c r="E282" i="13"/>
  <c r="F282" i="13" s="1"/>
  <c r="D283" i="13" s="1"/>
  <c r="J1232" i="13"/>
  <c r="E204" i="20"/>
  <c r="F204" i="20" s="1"/>
  <c r="E716" i="13"/>
  <c r="F716" i="13" s="1"/>
  <c r="D717" i="13" s="1"/>
  <c r="E294" i="20"/>
  <c r="F294" i="20" s="1"/>
  <c r="D295" i="20" s="1"/>
  <c r="J109" i="13"/>
  <c r="O109" i="13"/>
  <c r="H1920" i="13"/>
  <c r="I1920" i="13"/>
  <c r="I1360" i="20"/>
  <c r="E889" i="13"/>
  <c r="F889" i="13" s="1"/>
  <c r="E1628" i="20"/>
  <c r="F1628" i="20" s="1"/>
  <c r="D1629" i="20" s="1"/>
  <c r="H194" i="13"/>
  <c r="I194" i="13"/>
  <c r="E1718" i="20"/>
  <c r="F1718" i="20" s="1"/>
  <c r="D1719" i="20" s="1"/>
  <c r="I112" i="20"/>
  <c r="E1451" i="20"/>
  <c r="F1451" i="20" s="1"/>
  <c r="D1452" i="20" s="1"/>
  <c r="J887" i="13"/>
  <c r="H888" i="13"/>
  <c r="M888" i="13" s="1"/>
  <c r="I888" i="13"/>
  <c r="O888" i="13" s="1"/>
  <c r="I470" i="20"/>
  <c r="I1717" i="20"/>
  <c r="H1183" i="20"/>
  <c r="J1575" i="13"/>
  <c r="I292" i="20"/>
  <c r="G1183" i="20"/>
  <c r="M624" i="13"/>
  <c r="H739" i="20"/>
  <c r="E1665" i="13"/>
  <c r="F1665" i="13" s="1"/>
  <c r="E979" i="13"/>
  <c r="F979" i="13" s="1"/>
  <c r="D980" i="13" s="1"/>
  <c r="I1005" i="20"/>
  <c r="H1233" i="13"/>
  <c r="I1233" i="13"/>
  <c r="G1406" i="13"/>
  <c r="J1145" i="13"/>
  <c r="H1271" i="20"/>
  <c r="M109" i="13"/>
  <c r="E1921" i="13"/>
  <c r="F1921" i="13" s="1"/>
  <c r="D1922" i="13" s="1"/>
  <c r="E1361" i="20"/>
  <c r="F1361" i="20" s="1"/>
  <c r="H1317" i="13"/>
  <c r="I1317" i="13"/>
  <c r="E471" i="20"/>
  <c r="F471" i="20" s="1"/>
  <c r="E195" i="13"/>
  <c r="F195" i="13" s="1"/>
  <c r="E113" i="20"/>
  <c r="F113" i="20" s="1"/>
  <c r="D114" i="20" s="1"/>
  <c r="E1184" i="20"/>
  <c r="F1184" i="20" s="1"/>
  <c r="E740" i="20"/>
  <c r="F740" i="20" s="1"/>
  <c r="I1895" i="20"/>
  <c r="E1407" i="13"/>
  <c r="F1407" i="13" s="1"/>
  <c r="H715" i="13"/>
  <c r="M715" i="13" s="1"/>
  <c r="E1235" i="13"/>
  <c r="F1235" i="13" s="1"/>
  <c r="D1236" i="13" s="1"/>
  <c r="E111" i="13"/>
  <c r="F111" i="13" s="1"/>
  <c r="D112" i="13" s="1"/>
  <c r="E917" i="20"/>
  <c r="F917" i="20" s="1"/>
  <c r="O624" i="13"/>
  <c r="J624" i="13"/>
  <c r="H1663" i="13"/>
  <c r="I1663" i="13"/>
  <c r="J1405" i="13"/>
  <c r="G739" i="20"/>
  <c r="H1807" i="20"/>
  <c r="H203" i="20"/>
  <c r="J1748" i="13"/>
  <c r="H1094" i="20"/>
  <c r="G1271" i="20"/>
  <c r="H293" i="20"/>
  <c r="G1234" i="13"/>
  <c r="P280" i="13"/>
  <c r="P193" i="13"/>
  <c r="E1318" i="13"/>
  <c r="F1318" i="13" s="1"/>
  <c r="D1319" i="13" s="1"/>
  <c r="H110" i="13"/>
  <c r="M110" i="13" s="1"/>
  <c r="I110" i="13"/>
  <c r="I916" i="20"/>
  <c r="H281" i="13"/>
  <c r="I281" i="13"/>
  <c r="E382" i="20"/>
  <c r="F382" i="20" s="1"/>
  <c r="I1450" i="20"/>
  <c r="K42" i="50" l="1"/>
  <c r="D43" i="50" s="1"/>
  <c r="H42" i="50"/>
  <c r="K41" i="49"/>
  <c r="D42" i="49" s="1"/>
  <c r="H41" i="49"/>
  <c r="I1664" i="13"/>
  <c r="O1558" i="13"/>
  <c r="O1559" i="13" s="1"/>
  <c r="N1559" i="13"/>
  <c r="O1128" i="13"/>
  <c r="O1129" i="13" s="1"/>
  <c r="O1472" i="13"/>
  <c r="O1473" i="13" s="1"/>
  <c r="O1317" i="13"/>
  <c r="N1300" i="13"/>
  <c r="P715" i="13"/>
  <c r="M1920" i="13"/>
  <c r="M1902" i="13"/>
  <c r="M1903" i="13" s="1"/>
  <c r="M1317" i="13"/>
  <c r="M1300" i="13"/>
  <c r="M1301" i="13" s="1"/>
  <c r="M696" i="13"/>
  <c r="M697" i="13" s="1"/>
  <c r="O1920" i="13"/>
  <c r="N1902" i="13"/>
  <c r="P888" i="13"/>
  <c r="O714" i="13"/>
  <c r="P714" i="13" s="1"/>
  <c r="N696" i="13"/>
  <c r="M368" i="13"/>
  <c r="O368" i="13"/>
  <c r="O1058" i="13"/>
  <c r="M1058" i="13"/>
  <c r="K43" i="47"/>
  <c r="D44" i="47" s="1"/>
  <c r="H43" i="47"/>
  <c r="P887" i="13"/>
  <c r="M453" i="13"/>
  <c r="O453" i="13"/>
  <c r="O281" i="13"/>
  <c r="M281" i="13"/>
  <c r="D370" i="13"/>
  <c r="E370" i="13" s="1"/>
  <c r="F370" i="13" s="1"/>
  <c r="G369" i="13"/>
  <c r="H369" i="13" s="1"/>
  <c r="M369" i="13" s="1"/>
  <c r="D1542" i="20"/>
  <c r="E1542" i="20" s="1"/>
  <c r="F1542" i="20" s="1"/>
  <c r="D1543" i="20" s="1"/>
  <c r="H1541" i="20"/>
  <c r="G1541" i="20"/>
  <c r="I978" i="13"/>
  <c r="J978" i="13" s="1"/>
  <c r="F48" i="50"/>
  <c r="F49" i="47"/>
  <c r="A97" i="41"/>
  <c r="C64" i="13"/>
  <c r="C64" i="20"/>
  <c r="B92" i="2"/>
  <c r="B93" i="2" s="1"/>
  <c r="B94" i="2" s="1"/>
  <c r="F48" i="49"/>
  <c r="H1718" i="20"/>
  <c r="D1061" i="13"/>
  <c r="G1060" i="13"/>
  <c r="D1185" i="20"/>
  <c r="G1184" i="20"/>
  <c r="F543" i="13"/>
  <c r="D544" i="13" s="1"/>
  <c r="I1490" i="13"/>
  <c r="H1490" i="13"/>
  <c r="H1833" i="13"/>
  <c r="I1833" i="13"/>
  <c r="I293" i="20"/>
  <c r="G1718" i="20"/>
  <c r="E1491" i="13"/>
  <c r="F1491" i="13" s="1"/>
  <c r="D1492" i="13" s="1"/>
  <c r="E1834" i="13"/>
  <c r="F1834" i="13" s="1"/>
  <c r="D1835" i="13" s="1"/>
  <c r="J1058" i="13"/>
  <c r="H1059" i="13"/>
  <c r="M1059" i="13" s="1"/>
  <c r="I1059" i="13"/>
  <c r="O1059" i="13" s="1"/>
  <c r="I454" i="13"/>
  <c r="O454" i="13" s="1"/>
  <c r="H454" i="13"/>
  <c r="M454" i="13" s="1"/>
  <c r="J368" i="13"/>
  <c r="J453" i="13"/>
  <c r="G542" i="13"/>
  <c r="H541" i="13"/>
  <c r="I541" i="13"/>
  <c r="E455" i="13"/>
  <c r="F455" i="13" s="1"/>
  <c r="P624" i="13"/>
  <c r="J888" i="13"/>
  <c r="J715" i="13"/>
  <c r="I1896" i="20"/>
  <c r="D918" i="20"/>
  <c r="G917" i="20"/>
  <c r="H917" i="20"/>
  <c r="D741" i="20"/>
  <c r="H740" i="20"/>
  <c r="G740" i="20"/>
  <c r="D1096" i="20"/>
  <c r="G1095" i="20"/>
  <c r="H1095" i="20"/>
  <c r="D205" i="20"/>
  <c r="G204" i="20"/>
  <c r="H204" i="20"/>
  <c r="D890" i="13"/>
  <c r="G889" i="13"/>
  <c r="D1273" i="20"/>
  <c r="G1272" i="20"/>
  <c r="H1272" i="20"/>
  <c r="D383" i="20"/>
  <c r="H382" i="20"/>
  <c r="G382" i="20"/>
  <c r="D472" i="20"/>
  <c r="G471" i="20"/>
  <c r="H471" i="20"/>
  <c r="D1408" i="13"/>
  <c r="G1407" i="13"/>
  <c r="D196" i="13"/>
  <c r="G195" i="13"/>
  <c r="D1362" i="20"/>
  <c r="G1361" i="20"/>
  <c r="H1361" i="20"/>
  <c r="D1666" i="13"/>
  <c r="G1665" i="13"/>
  <c r="J281" i="13"/>
  <c r="E1452" i="20"/>
  <c r="F1452" i="20" s="1"/>
  <c r="E295" i="20"/>
  <c r="F295" i="20" s="1"/>
  <c r="H1576" i="13"/>
  <c r="I1576" i="13"/>
  <c r="E828" i="20"/>
  <c r="F828" i="20" s="1"/>
  <c r="I739" i="20"/>
  <c r="M194" i="13"/>
  <c r="P109" i="13"/>
  <c r="G716" i="13"/>
  <c r="I1006" i="20"/>
  <c r="E1577" i="13"/>
  <c r="F1577" i="13" s="1"/>
  <c r="D1578" i="13" s="1"/>
  <c r="H1146" i="13"/>
  <c r="I1146" i="13"/>
  <c r="E650" i="20"/>
  <c r="F650" i="20" s="1"/>
  <c r="E1985" i="20"/>
  <c r="F1985" i="20" s="1"/>
  <c r="E1750" i="13"/>
  <c r="F1750" i="13" s="1"/>
  <c r="E626" i="13"/>
  <c r="F626" i="13" s="1"/>
  <c r="J110" i="13"/>
  <c r="O110" i="13"/>
  <c r="P110" i="13" s="1"/>
  <c r="E1809" i="20"/>
  <c r="F1809" i="20" s="1"/>
  <c r="D1810" i="20" s="1"/>
  <c r="E1236" i="13"/>
  <c r="F1236" i="13" s="1"/>
  <c r="J1317" i="13"/>
  <c r="E1922" i="13"/>
  <c r="F1922" i="13" s="1"/>
  <c r="D1923" i="13" s="1"/>
  <c r="H1406" i="13"/>
  <c r="I1406" i="13"/>
  <c r="E980" i="13"/>
  <c r="F980" i="13" s="1"/>
  <c r="I1183" i="20"/>
  <c r="O194" i="13"/>
  <c r="J194" i="13"/>
  <c r="E1629" i="20"/>
  <c r="F1629" i="20" s="1"/>
  <c r="E717" i="13"/>
  <c r="F717" i="13" s="1"/>
  <c r="D718" i="13" s="1"/>
  <c r="H625" i="13"/>
  <c r="I625" i="13"/>
  <c r="H113" i="20"/>
  <c r="I1094" i="20"/>
  <c r="I203" i="20"/>
  <c r="I1807" i="20"/>
  <c r="H1808" i="20"/>
  <c r="J1664" i="13"/>
  <c r="G113" i="20"/>
  <c r="G1921" i="13"/>
  <c r="H1451" i="20"/>
  <c r="E1719" i="20"/>
  <c r="F1719" i="20" s="1"/>
  <c r="H1628" i="20"/>
  <c r="H294" i="20"/>
  <c r="E1007" i="20"/>
  <c r="F1007" i="20" s="1"/>
  <c r="D1008" i="20" s="1"/>
  <c r="E1147" i="13"/>
  <c r="F1147" i="13" s="1"/>
  <c r="D1148" i="13" s="1"/>
  <c r="I827" i="20"/>
  <c r="E1319" i="13"/>
  <c r="F1319" i="13" s="1"/>
  <c r="E114" i="20"/>
  <c r="F114" i="20" s="1"/>
  <c r="D115" i="20" s="1"/>
  <c r="I1271" i="20"/>
  <c r="E283" i="13"/>
  <c r="F283" i="13" s="1"/>
  <c r="I649" i="20"/>
  <c r="H1749" i="13"/>
  <c r="I1749" i="13"/>
  <c r="E804" i="13"/>
  <c r="F804" i="13" s="1"/>
  <c r="D805" i="13" s="1"/>
  <c r="E112" i="13"/>
  <c r="F112" i="13" s="1"/>
  <c r="D113" i="13" s="1"/>
  <c r="E1185" i="20"/>
  <c r="F1185" i="20" s="1"/>
  <c r="D1186" i="20" s="1"/>
  <c r="G1318" i="13"/>
  <c r="H1234" i="13"/>
  <c r="I1234" i="13"/>
  <c r="J1663" i="13"/>
  <c r="G1808" i="20"/>
  <c r="G111" i="13"/>
  <c r="G1235" i="13"/>
  <c r="H1184" i="20"/>
  <c r="J1233" i="13"/>
  <c r="G979" i="13"/>
  <c r="G1451" i="20"/>
  <c r="G1628" i="20"/>
  <c r="J1920" i="13"/>
  <c r="G294" i="20"/>
  <c r="G282" i="13"/>
  <c r="I1984" i="20"/>
  <c r="H803" i="13"/>
  <c r="I803" i="13"/>
  <c r="E1897" i="20"/>
  <c r="F1897" i="20" s="1"/>
  <c r="D1898" i="20" s="1"/>
  <c r="K42" i="49" l="1"/>
  <c r="D43" i="49" s="1"/>
  <c r="H42" i="49"/>
  <c r="K43" i="50"/>
  <c r="D44" i="50" s="1"/>
  <c r="H43" i="50"/>
  <c r="P1059" i="13"/>
  <c r="M1042" i="13"/>
  <c r="M1043" i="13" s="1"/>
  <c r="M350" i="13"/>
  <c r="M351" i="13" s="1"/>
  <c r="O1902" i="13"/>
  <c r="O1903" i="13" s="1"/>
  <c r="N1903" i="13"/>
  <c r="N1301" i="13"/>
  <c r="O1300" i="13"/>
  <c r="O1301" i="13" s="1"/>
  <c r="N1042" i="13"/>
  <c r="N1043" i="13" s="1"/>
  <c r="P1920" i="13"/>
  <c r="P1317" i="13"/>
  <c r="H1542" i="20"/>
  <c r="P454" i="13"/>
  <c r="O696" i="13"/>
  <c r="O697" i="13" s="1"/>
  <c r="N697" i="13"/>
  <c r="P368" i="13"/>
  <c r="I369" i="13"/>
  <c r="P1058" i="13"/>
  <c r="G1542" i="20"/>
  <c r="P453" i="13"/>
  <c r="K44" i="47"/>
  <c r="D45" i="47" s="1"/>
  <c r="H44" i="47"/>
  <c r="P281" i="13"/>
  <c r="O625" i="13"/>
  <c r="M625" i="13"/>
  <c r="I1541" i="20"/>
  <c r="I1184" i="20"/>
  <c r="I1718" i="20"/>
  <c r="J454" i="13"/>
  <c r="A98" i="41"/>
  <c r="F49" i="50"/>
  <c r="F49" i="49"/>
  <c r="B95" i="2"/>
  <c r="E95" i="2"/>
  <c r="F50" i="47"/>
  <c r="D1630" i="20"/>
  <c r="E1630" i="20" s="1"/>
  <c r="F1630" i="20" s="1"/>
  <c r="G1629" i="20"/>
  <c r="P194" i="13"/>
  <c r="G1491" i="13"/>
  <c r="I1491" i="13" s="1"/>
  <c r="J1833" i="13"/>
  <c r="J541" i="13"/>
  <c r="J1059" i="13"/>
  <c r="J1490" i="13"/>
  <c r="D981" i="13"/>
  <c r="E981" i="13" s="1"/>
  <c r="F981" i="13" s="1"/>
  <c r="G980" i="13"/>
  <c r="I980" i="13" s="1"/>
  <c r="D456" i="13"/>
  <c r="G455" i="13"/>
  <c r="D371" i="13"/>
  <c r="G370" i="13"/>
  <c r="G1897" i="20"/>
  <c r="G114" i="20"/>
  <c r="G1577" i="13"/>
  <c r="H1577" i="13" s="1"/>
  <c r="E1492" i="13"/>
  <c r="F1492" i="13" s="1"/>
  <c r="I542" i="13"/>
  <c r="H542" i="13"/>
  <c r="G1834" i="13"/>
  <c r="F544" i="13"/>
  <c r="D545" i="13" s="1"/>
  <c r="I1060" i="13"/>
  <c r="H1060" i="13"/>
  <c r="E1835" i="13"/>
  <c r="F1835" i="13" s="1"/>
  <c r="D1836" i="13" s="1"/>
  <c r="G543" i="13"/>
  <c r="E1061" i="13"/>
  <c r="F1061" i="13" s="1"/>
  <c r="D1062" i="13" s="1"/>
  <c r="I1272" i="20"/>
  <c r="I294" i="20"/>
  <c r="D296" i="20"/>
  <c r="G295" i="20"/>
  <c r="H295" i="20"/>
  <c r="D1751" i="13"/>
  <c r="G1750" i="13"/>
  <c r="D829" i="20"/>
  <c r="H828" i="20"/>
  <c r="G828" i="20"/>
  <c r="D1453" i="20"/>
  <c r="G1452" i="20"/>
  <c r="H1452" i="20"/>
  <c r="D651" i="20"/>
  <c r="G650" i="20"/>
  <c r="H650" i="20"/>
  <c r="D627" i="13"/>
  <c r="G626" i="13"/>
  <c r="D284" i="13"/>
  <c r="G283" i="13"/>
  <c r="D1320" i="13"/>
  <c r="G1319" i="13"/>
  <c r="D1720" i="20"/>
  <c r="H1719" i="20"/>
  <c r="G1719" i="20"/>
  <c r="D1237" i="13"/>
  <c r="G1236" i="13"/>
  <c r="D1986" i="20"/>
  <c r="G1985" i="20"/>
  <c r="H1985" i="20"/>
  <c r="E1008" i="20"/>
  <c r="F1008" i="20" s="1"/>
  <c r="D1009" i="20" s="1"/>
  <c r="H1921" i="13"/>
  <c r="I1921" i="13"/>
  <c r="E718" i="13"/>
  <c r="F718" i="13" s="1"/>
  <c r="D719" i="13" s="1"/>
  <c r="E1898" i="20"/>
  <c r="F1898" i="20" s="1"/>
  <c r="E115" i="20"/>
  <c r="F115" i="20" s="1"/>
  <c r="H1007" i="20"/>
  <c r="I1808" i="20"/>
  <c r="E1923" i="13"/>
  <c r="F1923" i="13" s="1"/>
  <c r="J1146" i="13"/>
  <c r="E1578" i="13"/>
  <c r="F1578" i="13" s="1"/>
  <c r="D1579" i="13" s="1"/>
  <c r="H1665" i="13"/>
  <c r="I1665" i="13"/>
  <c r="E1362" i="20"/>
  <c r="F1362" i="20" s="1"/>
  <c r="E472" i="20"/>
  <c r="F472" i="20" s="1"/>
  <c r="E205" i="20"/>
  <c r="F205" i="20" s="1"/>
  <c r="E1096" i="20"/>
  <c r="F1096" i="20" s="1"/>
  <c r="D1097" i="20" s="1"/>
  <c r="I917" i="20"/>
  <c r="E1186" i="20"/>
  <c r="F1186" i="20" s="1"/>
  <c r="E805" i="13"/>
  <c r="F805" i="13" s="1"/>
  <c r="I1451" i="20"/>
  <c r="J625" i="13"/>
  <c r="H716" i="13"/>
  <c r="I716" i="13"/>
  <c r="E383" i="20"/>
  <c r="F383" i="20" s="1"/>
  <c r="D384" i="20" s="1"/>
  <c r="H1235" i="13"/>
  <c r="I1235" i="13"/>
  <c r="H1318" i="13"/>
  <c r="I1318" i="13"/>
  <c r="J1749" i="13"/>
  <c r="G1007" i="20"/>
  <c r="H1809" i="20"/>
  <c r="E1666" i="13"/>
  <c r="F1666" i="13" s="1"/>
  <c r="D1667" i="13" s="1"/>
  <c r="H195" i="13"/>
  <c r="I195" i="13"/>
  <c r="H1407" i="13"/>
  <c r="I1407" i="13"/>
  <c r="E1543" i="20"/>
  <c r="F1543" i="20" s="1"/>
  <c r="H889" i="13"/>
  <c r="I889" i="13"/>
  <c r="E113" i="13"/>
  <c r="F113" i="13" s="1"/>
  <c r="D114" i="13" s="1"/>
  <c r="E1148" i="13"/>
  <c r="F1148" i="13" s="1"/>
  <c r="I113" i="20"/>
  <c r="E1810" i="20"/>
  <c r="F1810" i="20" s="1"/>
  <c r="E741" i="20"/>
  <c r="F741" i="20" s="1"/>
  <c r="H979" i="13"/>
  <c r="I979" i="13"/>
  <c r="H111" i="13"/>
  <c r="I111" i="13"/>
  <c r="H1185" i="20"/>
  <c r="H1897" i="20"/>
  <c r="J803" i="13"/>
  <c r="H282" i="13"/>
  <c r="I282" i="13"/>
  <c r="J1234" i="13"/>
  <c r="G1185" i="20"/>
  <c r="G112" i="13"/>
  <c r="G804" i="13"/>
  <c r="H114" i="20"/>
  <c r="G1147" i="13"/>
  <c r="I1628" i="20"/>
  <c r="G717" i="13"/>
  <c r="H1629" i="20"/>
  <c r="J1406" i="13"/>
  <c r="G1922" i="13"/>
  <c r="G1809" i="20"/>
  <c r="J1576" i="13"/>
  <c r="I1361" i="20"/>
  <c r="E196" i="13"/>
  <c r="F196" i="13" s="1"/>
  <c r="E1408" i="13"/>
  <c r="F1408" i="13" s="1"/>
  <c r="I471" i="20"/>
  <c r="I382" i="20"/>
  <c r="E1273" i="20"/>
  <c r="F1273" i="20" s="1"/>
  <c r="E890" i="13"/>
  <c r="F890" i="13" s="1"/>
  <c r="D891" i="13" s="1"/>
  <c r="I204" i="20"/>
  <c r="I1095" i="20"/>
  <c r="I740" i="20"/>
  <c r="E918" i="20"/>
  <c r="F918" i="20" s="1"/>
  <c r="H44" i="50" l="1"/>
  <c r="K44" i="50"/>
  <c r="D45" i="50" s="1"/>
  <c r="H43" i="49"/>
  <c r="K43" i="49"/>
  <c r="D44" i="49" s="1"/>
  <c r="O1042" i="13"/>
  <c r="O1043" i="13" s="1"/>
  <c r="H980" i="13"/>
  <c r="J980" i="13" s="1"/>
  <c r="O889" i="13"/>
  <c r="N870" i="13"/>
  <c r="J369" i="13"/>
  <c r="O369" i="13"/>
  <c r="P369" i="13" s="1"/>
  <c r="N350" i="13"/>
  <c r="M889" i="13"/>
  <c r="M870" i="13"/>
  <c r="M871" i="13" s="1"/>
  <c r="I1542" i="20"/>
  <c r="M282" i="13"/>
  <c r="O282" i="13"/>
  <c r="K45" i="47"/>
  <c r="D46" i="47" s="1"/>
  <c r="H45" i="47"/>
  <c r="I114" i="20"/>
  <c r="P625" i="13"/>
  <c r="I1577" i="13"/>
  <c r="J1577" i="13" s="1"/>
  <c r="I1629" i="20"/>
  <c r="H1491" i="13"/>
  <c r="J1491" i="13" s="1"/>
  <c r="B98" i="2"/>
  <c r="B99" i="2" s="1"/>
  <c r="C48" i="11"/>
  <c r="F50" i="49"/>
  <c r="F50" i="50"/>
  <c r="A99" i="41"/>
  <c r="A100" i="41" s="1"/>
  <c r="J1060" i="13"/>
  <c r="D116" i="20"/>
  <c r="E116" i="20" s="1"/>
  <c r="F116" i="20" s="1"/>
  <c r="G115" i="20"/>
  <c r="H115" i="20"/>
  <c r="G1578" i="13"/>
  <c r="H1578" i="13" s="1"/>
  <c r="G1835" i="13"/>
  <c r="H1835" i="13" s="1"/>
  <c r="D1493" i="13"/>
  <c r="G1492" i="13"/>
  <c r="D1544" i="20"/>
  <c r="E1544" i="20" s="1"/>
  <c r="F1544" i="20" s="1"/>
  <c r="D1545" i="20" s="1"/>
  <c r="G1543" i="20"/>
  <c r="H1543" i="20"/>
  <c r="D919" i="20"/>
  <c r="E919" i="20" s="1"/>
  <c r="F919" i="20" s="1"/>
  <c r="G918" i="20"/>
  <c r="H918" i="20"/>
  <c r="G113" i="13"/>
  <c r="H113" i="13" s="1"/>
  <c r="M113" i="13" s="1"/>
  <c r="F545" i="13"/>
  <c r="D546" i="13" s="1"/>
  <c r="J542" i="13"/>
  <c r="H455" i="13"/>
  <c r="I455" i="13"/>
  <c r="G1061" i="13"/>
  <c r="E1836" i="13"/>
  <c r="F1836" i="13" s="1"/>
  <c r="D1837" i="13" s="1"/>
  <c r="G544" i="13"/>
  <c r="E456" i="13"/>
  <c r="F456" i="13" s="1"/>
  <c r="E1062" i="13"/>
  <c r="F1062" i="13" s="1"/>
  <c r="D1063" i="13" s="1"/>
  <c r="H1834" i="13"/>
  <c r="I1834" i="13"/>
  <c r="H370" i="13"/>
  <c r="I370" i="13"/>
  <c r="I543" i="13"/>
  <c r="H543" i="13"/>
  <c r="E371" i="13"/>
  <c r="F371" i="13" s="1"/>
  <c r="I295" i="20"/>
  <c r="D1363" i="20"/>
  <c r="G1362" i="20"/>
  <c r="H1362" i="20"/>
  <c r="D1274" i="20"/>
  <c r="G1273" i="20"/>
  <c r="H1273" i="20"/>
  <c r="D742" i="20"/>
  <c r="G741" i="20"/>
  <c r="H741" i="20"/>
  <c r="D473" i="20"/>
  <c r="G472" i="20"/>
  <c r="H472" i="20"/>
  <c r="D1899" i="20"/>
  <c r="H1898" i="20"/>
  <c r="G1898" i="20"/>
  <c r="D806" i="13"/>
  <c r="G805" i="13"/>
  <c r="D1631" i="20"/>
  <c r="G1630" i="20"/>
  <c r="H1630" i="20"/>
  <c r="D197" i="13"/>
  <c r="G196" i="13"/>
  <c r="D1924" i="13"/>
  <c r="G1923" i="13"/>
  <c r="D1811" i="20"/>
  <c r="G1810" i="20"/>
  <c r="H1810" i="20"/>
  <c r="D982" i="13"/>
  <c r="G981" i="13"/>
  <c r="D1409" i="13"/>
  <c r="G1408" i="13"/>
  <c r="D1149" i="13"/>
  <c r="G1148" i="13"/>
  <c r="D1187" i="20"/>
  <c r="H1186" i="20"/>
  <c r="G1186" i="20"/>
  <c r="D206" i="20"/>
  <c r="G205" i="20"/>
  <c r="H205" i="20"/>
  <c r="H112" i="13"/>
  <c r="M112" i="13" s="1"/>
  <c r="I112" i="13"/>
  <c r="O112" i="13" s="1"/>
  <c r="J889" i="13"/>
  <c r="E1667" i="13"/>
  <c r="F1667" i="13" s="1"/>
  <c r="J1318" i="13"/>
  <c r="J716" i="13"/>
  <c r="E1097" i="20"/>
  <c r="F1097" i="20" s="1"/>
  <c r="E1009" i="20"/>
  <c r="F1009" i="20" s="1"/>
  <c r="I1719" i="20"/>
  <c r="I650" i="20"/>
  <c r="H1922" i="13"/>
  <c r="I1922" i="13"/>
  <c r="I1185" i="20"/>
  <c r="J979" i="13"/>
  <c r="J195" i="13"/>
  <c r="O195" i="13"/>
  <c r="H1096" i="20"/>
  <c r="E719" i="13"/>
  <c r="F719" i="13" s="1"/>
  <c r="H1236" i="13"/>
  <c r="I1236" i="13"/>
  <c r="E1720" i="20"/>
  <c r="F1720" i="20" s="1"/>
  <c r="E284" i="13"/>
  <c r="F284" i="13" s="1"/>
  <c r="D285" i="13" s="1"/>
  <c r="E1453" i="20"/>
  <c r="F1453" i="20" s="1"/>
  <c r="D1454" i="20" s="1"/>
  <c r="H1750" i="13"/>
  <c r="I1750" i="13"/>
  <c r="H1147" i="13"/>
  <c r="I1147" i="13"/>
  <c r="J282" i="13"/>
  <c r="E384" i="20"/>
  <c r="F384" i="20" s="1"/>
  <c r="D385" i="20" s="1"/>
  <c r="J1921" i="13"/>
  <c r="E1986" i="20"/>
  <c r="F1986" i="20" s="1"/>
  <c r="H283" i="13"/>
  <c r="M283" i="13" s="1"/>
  <c r="I283" i="13"/>
  <c r="O283" i="13" s="1"/>
  <c r="E829" i="20"/>
  <c r="F829" i="20" s="1"/>
  <c r="G890" i="13"/>
  <c r="H717" i="13"/>
  <c r="I717" i="13"/>
  <c r="O111" i="13"/>
  <c r="J111" i="13"/>
  <c r="M195" i="13"/>
  <c r="J1235" i="13"/>
  <c r="H383" i="20"/>
  <c r="G1096" i="20"/>
  <c r="J1665" i="13"/>
  <c r="E1579" i="13"/>
  <c r="F1579" i="13" s="1"/>
  <c r="H1008" i="20"/>
  <c r="I1985" i="20"/>
  <c r="E1237" i="13"/>
  <c r="F1237" i="13" s="1"/>
  <c r="D1238" i="13" s="1"/>
  <c r="H1319" i="13"/>
  <c r="I1319" i="13"/>
  <c r="H626" i="13"/>
  <c r="I626" i="13"/>
  <c r="E651" i="20"/>
  <c r="F651" i="20" s="1"/>
  <c r="D652" i="20" s="1"/>
  <c r="E1751" i="13"/>
  <c r="F1751" i="13" s="1"/>
  <c r="D1752" i="13" s="1"/>
  <c r="E891" i="13"/>
  <c r="F891" i="13" s="1"/>
  <c r="I1897" i="20"/>
  <c r="H804" i="13"/>
  <c r="I804" i="13"/>
  <c r="M111" i="13"/>
  <c r="E114" i="13"/>
  <c r="F114" i="13" s="1"/>
  <c r="J1407" i="13"/>
  <c r="G1666" i="13"/>
  <c r="I1809" i="20"/>
  <c r="G383" i="20"/>
  <c r="I1007" i="20"/>
  <c r="G718" i="13"/>
  <c r="G1008" i="20"/>
  <c r="E1320" i="13"/>
  <c r="F1320" i="13" s="1"/>
  <c r="E627" i="13"/>
  <c r="F627" i="13" s="1"/>
  <c r="D628" i="13" s="1"/>
  <c r="I1452" i="20"/>
  <c r="I828" i="20"/>
  <c r="E296" i="20"/>
  <c r="F296" i="20" s="1"/>
  <c r="K44" i="49" l="1"/>
  <c r="D45" i="49" s="1"/>
  <c r="H44" i="49"/>
  <c r="B100" i="41"/>
  <c r="K45" i="50"/>
  <c r="D46" i="50" s="1"/>
  <c r="H45" i="50"/>
  <c r="P283" i="13"/>
  <c r="M455" i="13"/>
  <c r="M436" i="13"/>
  <c r="M437" i="13" s="1"/>
  <c r="M264" i="13"/>
  <c r="M265" i="13" s="1"/>
  <c r="N871" i="13"/>
  <c r="O870" i="13"/>
  <c r="O871" i="13" s="1"/>
  <c r="O455" i="13"/>
  <c r="P455" i="13" s="1"/>
  <c r="N436" i="13"/>
  <c r="N264" i="13"/>
  <c r="N265" i="13" s="1"/>
  <c r="N351" i="13"/>
  <c r="O350" i="13"/>
  <c r="O351" i="13" s="1"/>
  <c r="P889" i="13"/>
  <c r="I1835" i="13"/>
  <c r="J1835" i="13" s="1"/>
  <c r="I1578" i="13"/>
  <c r="J1578" i="13" s="1"/>
  <c r="P282" i="13"/>
  <c r="I113" i="13"/>
  <c r="O113" i="13" s="1"/>
  <c r="P113" i="13" s="1"/>
  <c r="M626" i="13"/>
  <c r="O626" i="13"/>
  <c r="H46" i="47"/>
  <c r="K46" i="47"/>
  <c r="D47" i="47" s="1"/>
  <c r="P112" i="13"/>
  <c r="I115" i="20"/>
  <c r="I1543" i="20"/>
  <c r="J455" i="13"/>
  <c r="I918" i="20"/>
  <c r="B100" i="2"/>
  <c r="B101" i="2" s="1"/>
  <c r="B102" i="2" s="1"/>
  <c r="B103" i="2" s="1"/>
  <c r="B104" i="2" s="1"/>
  <c r="A101" i="41"/>
  <c r="B103" i="41"/>
  <c r="B101" i="41"/>
  <c r="D372" i="13"/>
  <c r="G371" i="13"/>
  <c r="H371" i="13" s="1"/>
  <c r="G1836" i="13"/>
  <c r="I1836" i="13" s="1"/>
  <c r="J543" i="13"/>
  <c r="D457" i="13"/>
  <c r="G456" i="13"/>
  <c r="D117" i="20"/>
  <c r="E117" i="20" s="1"/>
  <c r="F117" i="20" s="1"/>
  <c r="H116" i="20"/>
  <c r="F546" i="13"/>
  <c r="D547" i="13" s="1"/>
  <c r="J370" i="13"/>
  <c r="G1062" i="13"/>
  <c r="G1544" i="20"/>
  <c r="E1063" i="13"/>
  <c r="F1063" i="13" s="1"/>
  <c r="E1837" i="13"/>
  <c r="F1837" i="13" s="1"/>
  <c r="D1838" i="13" s="1"/>
  <c r="H1492" i="13"/>
  <c r="I1492" i="13"/>
  <c r="H1453" i="20"/>
  <c r="J1834" i="13"/>
  <c r="H544" i="13"/>
  <c r="I544" i="13"/>
  <c r="I1061" i="13"/>
  <c r="H1061" i="13"/>
  <c r="G545" i="13"/>
  <c r="E1493" i="13"/>
  <c r="F1493" i="13" s="1"/>
  <c r="I1630" i="20"/>
  <c r="J1319" i="13"/>
  <c r="J717" i="13"/>
  <c r="P111" i="13"/>
  <c r="I1898" i="20"/>
  <c r="D920" i="20"/>
  <c r="H919" i="20"/>
  <c r="G919" i="20"/>
  <c r="D1721" i="20"/>
  <c r="H1720" i="20"/>
  <c r="G1720" i="20"/>
  <c r="D892" i="13"/>
  <c r="G891" i="13"/>
  <c r="D720" i="13"/>
  <c r="G719" i="13"/>
  <c r="D1321" i="13"/>
  <c r="G1320" i="13"/>
  <c r="D297" i="20"/>
  <c r="H296" i="20"/>
  <c r="G296" i="20"/>
  <c r="D1010" i="20"/>
  <c r="G1009" i="20"/>
  <c r="H1009" i="20"/>
  <c r="D115" i="13"/>
  <c r="G114" i="13"/>
  <c r="D1580" i="13"/>
  <c r="G1579" i="13"/>
  <c r="D1987" i="20"/>
  <c r="G1986" i="20"/>
  <c r="H1986" i="20"/>
  <c r="D830" i="20"/>
  <c r="H829" i="20"/>
  <c r="G829" i="20"/>
  <c r="D1098" i="20"/>
  <c r="G1097" i="20"/>
  <c r="H1097" i="20"/>
  <c r="D1668" i="13"/>
  <c r="G1667" i="13"/>
  <c r="E1752" i="13"/>
  <c r="F1752" i="13" s="1"/>
  <c r="E385" i="20"/>
  <c r="F385" i="20" s="1"/>
  <c r="E285" i="13"/>
  <c r="F285" i="13" s="1"/>
  <c r="E206" i="20"/>
  <c r="F206" i="20" s="1"/>
  <c r="H1408" i="13"/>
  <c r="I1408" i="13"/>
  <c r="I1810" i="20"/>
  <c r="E1924" i="13"/>
  <c r="F1924" i="13" s="1"/>
  <c r="D1925" i="13" s="1"/>
  <c r="E197" i="13"/>
  <c r="F197" i="13" s="1"/>
  <c r="H805" i="13"/>
  <c r="I805" i="13"/>
  <c r="E473" i="20"/>
  <c r="F473" i="20" s="1"/>
  <c r="D474" i="20" s="1"/>
  <c r="I1273" i="20"/>
  <c r="G627" i="13"/>
  <c r="H1666" i="13"/>
  <c r="I1666" i="13"/>
  <c r="G116" i="20"/>
  <c r="G1453" i="20"/>
  <c r="G284" i="13"/>
  <c r="E1409" i="13"/>
  <c r="F1409" i="13" s="1"/>
  <c r="D1410" i="13" s="1"/>
  <c r="E806" i="13"/>
  <c r="F806" i="13" s="1"/>
  <c r="E1899" i="20"/>
  <c r="F1899" i="20" s="1"/>
  <c r="D1900" i="20" s="1"/>
  <c r="I741" i="20"/>
  <c r="E1363" i="20"/>
  <c r="F1363" i="20" s="1"/>
  <c r="D1364" i="20" s="1"/>
  <c r="H718" i="13"/>
  <c r="I718" i="13"/>
  <c r="J804" i="13"/>
  <c r="E652" i="20"/>
  <c r="F652" i="20" s="1"/>
  <c r="J1147" i="13"/>
  <c r="E628" i="13"/>
  <c r="F628" i="13" s="1"/>
  <c r="H651" i="20"/>
  <c r="J626" i="13"/>
  <c r="I383" i="20"/>
  <c r="E1545" i="20"/>
  <c r="F1545" i="20" s="1"/>
  <c r="H890" i="13"/>
  <c r="I890" i="13"/>
  <c r="H384" i="20"/>
  <c r="J1750" i="13"/>
  <c r="E1454" i="20"/>
  <c r="F1454" i="20" s="1"/>
  <c r="I205" i="20"/>
  <c r="I1186" i="20"/>
  <c r="H1148" i="13"/>
  <c r="I1148" i="13"/>
  <c r="H981" i="13"/>
  <c r="I981" i="13"/>
  <c r="E1811" i="20"/>
  <c r="F1811" i="20" s="1"/>
  <c r="I472" i="20"/>
  <c r="E1274" i="20"/>
  <c r="F1274" i="20" s="1"/>
  <c r="D1275" i="20" s="1"/>
  <c r="E1238" i="13"/>
  <c r="F1238" i="13" s="1"/>
  <c r="G1751" i="13"/>
  <c r="G651" i="20"/>
  <c r="G1237" i="13"/>
  <c r="I1008" i="20"/>
  <c r="H1544" i="20"/>
  <c r="J283" i="13"/>
  <c r="G384" i="20"/>
  <c r="J1236" i="13"/>
  <c r="I1096" i="20"/>
  <c r="P195" i="13"/>
  <c r="J1922" i="13"/>
  <c r="J112" i="13"/>
  <c r="E1187" i="20"/>
  <c r="F1187" i="20" s="1"/>
  <c r="E1149" i="13"/>
  <c r="F1149" i="13" s="1"/>
  <c r="E982" i="13"/>
  <c r="F982" i="13" s="1"/>
  <c r="H1923" i="13"/>
  <c r="I1923" i="13"/>
  <c r="H196" i="13"/>
  <c r="I196" i="13"/>
  <c r="E1631" i="20"/>
  <c r="F1631" i="20" s="1"/>
  <c r="E742" i="20"/>
  <c r="F742" i="20" s="1"/>
  <c r="I1362" i="20"/>
  <c r="H46" i="50" l="1"/>
  <c r="K46" i="50"/>
  <c r="D47" i="50" s="1"/>
  <c r="E104" i="2"/>
  <c r="H45" i="49"/>
  <c r="K45" i="49"/>
  <c r="D46" i="49" s="1"/>
  <c r="I371" i="13"/>
  <c r="J371" i="13" s="1"/>
  <c r="O264" i="13"/>
  <c r="O265" i="13" s="1"/>
  <c r="N437" i="13"/>
  <c r="O436" i="13"/>
  <c r="O437" i="13" s="1"/>
  <c r="H1836" i="13"/>
  <c r="J1836" i="13" s="1"/>
  <c r="J113" i="13"/>
  <c r="P626" i="13"/>
  <c r="H47" i="47"/>
  <c r="K47" i="47"/>
  <c r="D48" i="47" s="1"/>
  <c r="M196" i="13"/>
  <c r="O196" i="13"/>
  <c r="I116" i="20"/>
  <c r="B106" i="2"/>
  <c r="B108" i="2" s="1"/>
  <c r="B110" i="2" s="1"/>
  <c r="B112" i="2" s="1"/>
  <c r="B113" i="2" s="1"/>
  <c r="A103" i="41"/>
  <c r="B104" i="41"/>
  <c r="I1544" i="20"/>
  <c r="E372" i="13"/>
  <c r="F372" i="13" s="1"/>
  <c r="D373" i="13" s="1"/>
  <c r="J1061" i="13"/>
  <c r="D653" i="20"/>
  <c r="E653" i="20" s="1"/>
  <c r="F653" i="20" s="1"/>
  <c r="D654" i="20" s="1"/>
  <c r="H652" i="20"/>
  <c r="D1753" i="13"/>
  <c r="E1753" i="13" s="1"/>
  <c r="F1753" i="13" s="1"/>
  <c r="D1754" i="13" s="1"/>
  <c r="G1752" i="13"/>
  <c r="H1752" i="13" s="1"/>
  <c r="D1494" i="13"/>
  <c r="G1493" i="13"/>
  <c r="D1812" i="20"/>
  <c r="E1812" i="20" s="1"/>
  <c r="F1812" i="20" s="1"/>
  <c r="D1813" i="20" s="1"/>
  <c r="G1811" i="20"/>
  <c r="D1064" i="13"/>
  <c r="G1063" i="13"/>
  <c r="D1188" i="20"/>
  <c r="E1188" i="20" s="1"/>
  <c r="F1188" i="20" s="1"/>
  <c r="D1189" i="20" s="1"/>
  <c r="G1187" i="20"/>
  <c r="D1455" i="20"/>
  <c r="E1455" i="20" s="1"/>
  <c r="F1455" i="20" s="1"/>
  <c r="H1454" i="20"/>
  <c r="G1454" i="20"/>
  <c r="E1838" i="13"/>
  <c r="F1838" i="13" s="1"/>
  <c r="H1062" i="13"/>
  <c r="I1062" i="13"/>
  <c r="I1453" i="20"/>
  <c r="J544" i="13"/>
  <c r="J1492" i="13"/>
  <c r="E373" i="13"/>
  <c r="F373" i="13" s="1"/>
  <c r="D374" i="13" s="1"/>
  <c r="H1363" i="20"/>
  <c r="H545" i="13"/>
  <c r="I545" i="13"/>
  <c r="F547" i="13"/>
  <c r="D548" i="13" s="1"/>
  <c r="H456" i="13"/>
  <c r="I456" i="13"/>
  <c r="G1363" i="20"/>
  <c r="G1837" i="13"/>
  <c r="G546" i="13"/>
  <c r="E457" i="13"/>
  <c r="F457" i="13" s="1"/>
  <c r="D458" i="13" s="1"/>
  <c r="J1148" i="13"/>
  <c r="J718" i="13"/>
  <c r="J805" i="13"/>
  <c r="I1097" i="20"/>
  <c r="D386" i="20"/>
  <c r="G385" i="20"/>
  <c r="H385" i="20"/>
  <c r="D118" i="20"/>
  <c r="G117" i="20"/>
  <c r="H117" i="20"/>
  <c r="D1239" i="13"/>
  <c r="G1238" i="13"/>
  <c r="D807" i="13"/>
  <c r="G806" i="13"/>
  <c r="D207" i="20"/>
  <c r="G206" i="20"/>
  <c r="H206" i="20"/>
  <c r="D983" i="13"/>
  <c r="G982" i="13"/>
  <c r="D1546" i="20"/>
  <c r="G1545" i="20"/>
  <c r="H1545" i="20"/>
  <c r="D743" i="20"/>
  <c r="G742" i="20"/>
  <c r="H742" i="20"/>
  <c r="D286" i="13"/>
  <c r="G285" i="13"/>
  <c r="D1632" i="20"/>
  <c r="G1631" i="20"/>
  <c r="H1631" i="20"/>
  <c r="D629" i="13"/>
  <c r="G628" i="13"/>
  <c r="D198" i="13"/>
  <c r="G197" i="13"/>
  <c r="D1150" i="13"/>
  <c r="G1149" i="13"/>
  <c r="E1925" i="13"/>
  <c r="F1925" i="13" s="1"/>
  <c r="D1926" i="13" s="1"/>
  <c r="I829" i="20"/>
  <c r="E115" i="13"/>
  <c r="F115" i="13" s="1"/>
  <c r="D116" i="13" s="1"/>
  <c r="H891" i="13"/>
  <c r="I891" i="13"/>
  <c r="J196" i="13"/>
  <c r="H1237" i="13"/>
  <c r="I1237" i="13"/>
  <c r="G652" i="20"/>
  <c r="E1668" i="13"/>
  <c r="F1668" i="13" s="1"/>
  <c r="E830" i="20"/>
  <c r="F830" i="20" s="1"/>
  <c r="H1579" i="13"/>
  <c r="I1579" i="13"/>
  <c r="E1321" i="13"/>
  <c r="F1321" i="13" s="1"/>
  <c r="E892" i="13"/>
  <c r="F892" i="13" s="1"/>
  <c r="I651" i="20"/>
  <c r="E1900" i="20"/>
  <c r="F1900" i="20" s="1"/>
  <c r="E1410" i="13"/>
  <c r="F1410" i="13" s="1"/>
  <c r="H284" i="13"/>
  <c r="I284" i="13"/>
  <c r="E474" i="20"/>
  <c r="F474" i="20" s="1"/>
  <c r="J1408" i="13"/>
  <c r="H1667" i="13"/>
  <c r="I1667" i="13"/>
  <c r="E1098" i="20"/>
  <c r="F1098" i="20" s="1"/>
  <c r="E1987" i="20"/>
  <c r="F1987" i="20" s="1"/>
  <c r="E1010" i="20"/>
  <c r="F1010" i="20" s="1"/>
  <c r="E1721" i="20"/>
  <c r="F1721" i="20" s="1"/>
  <c r="H1274" i="20"/>
  <c r="I384" i="20"/>
  <c r="E1364" i="20"/>
  <c r="F1364" i="20" s="1"/>
  <c r="H1899" i="20"/>
  <c r="H473" i="20"/>
  <c r="I1986" i="20"/>
  <c r="E1580" i="13"/>
  <c r="F1580" i="13" s="1"/>
  <c r="I1009" i="20"/>
  <c r="I296" i="20"/>
  <c r="H719" i="13"/>
  <c r="I719" i="13"/>
  <c r="I919" i="20"/>
  <c r="E1275" i="20"/>
  <c r="F1275" i="20" s="1"/>
  <c r="H1320" i="13"/>
  <c r="I1320" i="13"/>
  <c r="J1923" i="13"/>
  <c r="H1187" i="20"/>
  <c r="H1751" i="13"/>
  <c r="I1751" i="13"/>
  <c r="G1274" i="20"/>
  <c r="H1811" i="20"/>
  <c r="J981" i="13"/>
  <c r="J890" i="13"/>
  <c r="G1899" i="20"/>
  <c r="G1409" i="13"/>
  <c r="J1666" i="13"/>
  <c r="H627" i="13"/>
  <c r="I627" i="13"/>
  <c r="G473" i="20"/>
  <c r="G1924" i="13"/>
  <c r="H114" i="13"/>
  <c r="I114" i="13"/>
  <c r="O114" i="13" s="1"/>
  <c r="E297" i="20"/>
  <c r="F297" i="20" s="1"/>
  <c r="E720" i="13"/>
  <c r="F720" i="13" s="1"/>
  <c r="I1720" i="20"/>
  <c r="E920" i="20"/>
  <c r="F920" i="20" s="1"/>
  <c r="K47" i="50" l="1"/>
  <c r="D48" i="50" s="1"/>
  <c r="H47" i="50"/>
  <c r="K46" i="49"/>
  <c r="D47" i="49" s="1"/>
  <c r="H46" i="49"/>
  <c r="M627" i="13"/>
  <c r="M608" i="13"/>
  <c r="M609" i="13" s="1"/>
  <c r="O627" i="13"/>
  <c r="N608" i="13"/>
  <c r="M114" i="13"/>
  <c r="P114" i="13" s="1"/>
  <c r="M91" i="13"/>
  <c r="M92" i="13" s="1"/>
  <c r="N91" i="13"/>
  <c r="N92" i="13" s="1"/>
  <c r="I1811" i="20"/>
  <c r="I1752" i="13"/>
  <c r="J1752" i="13" s="1"/>
  <c r="K48" i="47"/>
  <c r="D49" i="47" s="1"/>
  <c r="H48" i="47"/>
  <c r="P196" i="13"/>
  <c r="J456" i="13"/>
  <c r="I652" i="20"/>
  <c r="I1363" i="20"/>
  <c r="I1454" i="20"/>
  <c r="E246" i="2"/>
  <c r="A104" i="41"/>
  <c r="B114" i="2"/>
  <c r="B115" i="2" s="1"/>
  <c r="B116" i="2" s="1"/>
  <c r="B117" i="2" s="1"/>
  <c r="B118" i="2" s="1"/>
  <c r="B119" i="2" s="1"/>
  <c r="B120" i="2" s="1"/>
  <c r="B121" i="2" s="1"/>
  <c r="E121" i="2"/>
  <c r="J1062" i="13"/>
  <c r="G372" i="13"/>
  <c r="J545" i="13"/>
  <c r="G547" i="13"/>
  <c r="H547" i="13" s="1"/>
  <c r="D1839" i="13"/>
  <c r="G1838" i="13"/>
  <c r="D721" i="13"/>
  <c r="G720" i="13"/>
  <c r="I720" i="13" s="1"/>
  <c r="D298" i="20"/>
  <c r="E298" i="20" s="1"/>
  <c r="H297" i="20"/>
  <c r="G297" i="20"/>
  <c r="H1837" i="13"/>
  <c r="I1837" i="13"/>
  <c r="I1187" i="20"/>
  <c r="G457" i="13"/>
  <c r="F548" i="13"/>
  <c r="D549" i="13" s="1"/>
  <c r="G373" i="13"/>
  <c r="E458" i="13"/>
  <c r="F458" i="13" s="1"/>
  <c r="D459" i="13" s="1"/>
  <c r="E374" i="13"/>
  <c r="F374" i="13" s="1"/>
  <c r="D375" i="13" s="1"/>
  <c r="E375" i="13" s="1"/>
  <c r="F375" i="13" s="1"/>
  <c r="D376" i="13" s="1"/>
  <c r="I1063" i="13"/>
  <c r="H1063" i="13"/>
  <c r="H1493" i="13"/>
  <c r="I1493" i="13"/>
  <c r="I546" i="13"/>
  <c r="H546" i="13"/>
  <c r="E1064" i="13"/>
  <c r="F1064" i="13" s="1"/>
  <c r="D1065" i="13" s="1"/>
  <c r="E1494" i="13"/>
  <c r="F1494" i="13" s="1"/>
  <c r="I1545" i="20"/>
  <c r="I117" i="20"/>
  <c r="J1320" i="13"/>
  <c r="J1667" i="13"/>
  <c r="J1237" i="13"/>
  <c r="I473" i="20"/>
  <c r="D475" i="20"/>
  <c r="H474" i="20"/>
  <c r="G474" i="20"/>
  <c r="D1581" i="13"/>
  <c r="G1580" i="13"/>
  <c r="D1099" i="20"/>
  <c r="G1098" i="20"/>
  <c r="H1098" i="20"/>
  <c r="D1322" i="13"/>
  <c r="G1321" i="13"/>
  <c r="D921" i="20"/>
  <c r="H920" i="20"/>
  <c r="G920" i="20"/>
  <c r="D1722" i="20"/>
  <c r="G1721" i="20"/>
  <c r="H1721" i="20"/>
  <c r="D1456" i="20"/>
  <c r="G1455" i="20"/>
  <c r="H1455" i="20"/>
  <c r="D1011" i="20"/>
  <c r="H1010" i="20"/>
  <c r="G1010" i="20"/>
  <c r="D1669" i="13"/>
  <c r="G1668" i="13"/>
  <c r="D1276" i="20"/>
  <c r="H1275" i="20"/>
  <c r="G1275" i="20"/>
  <c r="D1365" i="20"/>
  <c r="G1364" i="20"/>
  <c r="H1364" i="20"/>
  <c r="D1901" i="20"/>
  <c r="G1900" i="20"/>
  <c r="H1900" i="20"/>
  <c r="D1988" i="20"/>
  <c r="G1987" i="20"/>
  <c r="H1987" i="20"/>
  <c r="D1411" i="13"/>
  <c r="G1410" i="13"/>
  <c r="D893" i="13"/>
  <c r="G892" i="13"/>
  <c r="D831" i="20"/>
  <c r="G830" i="20"/>
  <c r="H830" i="20"/>
  <c r="J284" i="13"/>
  <c r="E1189" i="20"/>
  <c r="F1189" i="20" s="1"/>
  <c r="D1190" i="20" s="1"/>
  <c r="E1926" i="13"/>
  <c r="F1926" i="13" s="1"/>
  <c r="D1927" i="13" s="1"/>
  <c r="H628" i="13"/>
  <c r="I628" i="13"/>
  <c r="E118" i="20"/>
  <c r="F118" i="20" s="1"/>
  <c r="D119" i="20" s="1"/>
  <c r="E721" i="13"/>
  <c r="F721" i="13" s="1"/>
  <c r="H1924" i="13"/>
  <c r="I1924" i="13"/>
  <c r="I1899" i="20"/>
  <c r="I1274" i="20"/>
  <c r="E116" i="13"/>
  <c r="F116" i="13" s="1"/>
  <c r="E1150" i="13"/>
  <c r="F1150" i="13" s="1"/>
  <c r="E629" i="13"/>
  <c r="F629" i="13" s="1"/>
  <c r="H285" i="13"/>
  <c r="I285" i="13"/>
  <c r="E743" i="20"/>
  <c r="F743" i="20" s="1"/>
  <c r="H982" i="13"/>
  <c r="I982" i="13"/>
  <c r="E207" i="20"/>
  <c r="F207" i="20" s="1"/>
  <c r="D208" i="20" s="1"/>
  <c r="E1239" i="13"/>
  <c r="F1239" i="13" s="1"/>
  <c r="D1240" i="13" s="1"/>
  <c r="I385" i="20"/>
  <c r="E1813" i="20"/>
  <c r="F1813" i="20" s="1"/>
  <c r="H1149" i="13"/>
  <c r="I1149" i="13"/>
  <c r="E1632" i="20"/>
  <c r="F1632" i="20" s="1"/>
  <c r="E1546" i="20"/>
  <c r="F1546" i="20" s="1"/>
  <c r="D1547" i="20" s="1"/>
  <c r="H1238" i="13"/>
  <c r="I1238" i="13"/>
  <c r="G1753" i="13"/>
  <c r="H653" i="20"/>
  <c r="H1812" i="20"/>
  <c r="H1188" i="20"/>
  <c r="H197" i="13"/>
  <c r="I197" i="13"/>
  <c r="I1631" i="20"/>
  <c r="E286" i="13"/>
  <c r="F286" i="13" s="1"/>
  <c r="D287" i="13" s="1"/>
  <c r="E983" i="13"/>
  <c r="F983" i="13" s="1"/>
  <c r="H806" i="13"/>
  <c r="I806" i="13"/>
  <c r="E654" i="20"/>
  <c r="F654" i="20" s="1"/>
  <c r="D655" i="20" s="1"/>
  <c r="J114" i="13"/>
  <c r="J627" i="13"/>
  <c r="H1409" i="13"/>
  <c r="I1409" i="13"/>
  <c r="J1751" i="13"/>
  <c r="J719" i="13"/>
  <c r="E1754" i="13"/>
  <c r="F1754" i="13" s="1"/>
  <c r="D1755" i="13" s="1"/>
  <c r="G653" i="20"/>
  <c r="J1579" i="13"/>
  <c r="G1812" i="20"/>
  <c r="G1188" i="20"/>
  <c r="J891" i="13"/>
  <c r="G115" i="13"/>
  <c r="G1925" i="13"/>
  <c r="E198" i="13"/>
  <c r="F198" i="13" s="1"/>
  <c r="D199" i="13" s="1"/>
  <c r="I742" i="20"/>
  <c r="I206" i="20"/>
  <c r="E807" i="13"/>
  <c r="F807" i="13" s="1"/>
  <c r="E386" i="20"/>
  <c r="F386" i="20" s="1"/>
  <c r="D387" i="20" s="1"/>
  <c r="H47" i="49" l="1"/>
  <c r="K47" i="49"/>
  <c r="D48" i="49" s="1"/>
  <c r="K48" i="50"/>
  <c r="D49" i="50" s="1"/>
  <c r="H48" i="50"/>
  <c r="P627" i="13"/>
  <c r="H720" i="13"/>
  <c r="J720" i="13" s="1"/>
  <c r="O91" i="13"/>
  <c r="O92" i="13" s="1"/>
  <c r="O608" i="13"/>
  <c r="O609" i="13" s="1"/>
  <c r="N609" i="13"/>
  <c r="O197" i="13"/>
  <c r="M197" i="13"/>
  <c r="I547" i="13"/>
  <c r="J547" i="13" s="1"/>
  <c r="K49" i="47"/>
  <c r="D50" i="47" s="1"/>
  <c r="H49" i="47"/>
  <c r="J1837" i="13"/>
  <c r="I297" i="20"/>
  <c r="H372" i="13"/>
  <c r="I372" i="13"/>
  <c r="B123" i="2"/>
  <c r="D125" i="2" s="1"/>
  <c r="B105" i="41"/>
  <c r="A105" i="41"/>
  <c r="D1633" i="20"/>
  <c r="E1633" i="20" s="1"/>
  <c r="F1633" i="20" s="1"/>
  <c r="G1632" i="20"/>
  <c r="H1632" i="20"/>
  <c r="D1151" i="13"/>
  <c r="E1151" i="13" s="1"/>
  <c r="F1151" i="13" s="1"/>
  <c r="D1152" i="13" s="1"/>
  <c r="G1150" i="13"/>
  <c r="H1150" i="13" s="1"/>
  <c r="D1495" i="13"/>
  <c r="E1495" i="13" s="1"/>
  <c r="F1495" i="13" s="1"/>
  <c r="D1496" i="13" s="1"/>
  <c r="G1494" i="13"/>
  <c r="I1494" i="13" s="1"/>
  <c r="G1064" i="13"/>
  <c r="H1064" i="13" s="1"/>
  <c r="J1493" i="13"/>
  <c r="G374" i="13"/>
  <c r="I374" i="13" s="1"/>
  <c r="G386" i="20"/>
  <c r="G1189" i="20"/>
  <c r="D722" i="13"/>
  <c r="E722" i="13" s="1"/>
  <c r="G721" i="13"/>
  <c r="H721" i="13" s="1"/>
  <c r="E1065" i="13"/>
  <c r="F1065" i="13" s="1"/>
  <c r="D1066" i="13" s="1"/>
  <c r="H457" i="13"/>
  <c r="I457" i="13"/>
  <c r="E1839" i="13"/>
  <c r="F1839" i="13" s="1"/>
  <c r="D1840" i="13" s="1"/>
  <c r="F298" i="20"/>
  <c r="H298" i="20" s="1"/>
  <c r="G375" i="13"/>
  <c r="I375" i="13" s="1"/>
  <c r="H373" i="13"/>
  <c r="I373" i="13"/>
  <c r="G198" i="13"/>
  <c r="I198" i="13" s="1"/>
  <c r="O198" i="13" s="1"/>
  <c r="J546" i="13"/>
  <c r="J1063" i="13"/>
  <c r="G458" i="13"/>
  <c r="G548" i="13"/>
  <c r="I1064" i="13"/>
  <c r="E459" i="13"/>
  <c r="F459" i="13" s="1"/>
  <c r="F549" i="13"/>
  <c r="D550" i="13" s="1"/>
  <c r="I1838" i="13"/>
  <c r="H1838" i="13"/>
  <c r="I1987" i="20"/>
  <c r="J1238" i="13"/>
  <c r="J1409" i="13"/>
  <c r="I1364" i="20"/>
  <c r="I1721" i="20"/>
  <c r="J197" i="13"/>
  <c r="J1924" i="13"/>
  <c r="J1149" i="13"/>
  <c r="I1275" i="20"/>
  <c r="I920" i="20"/>
  <c r="J982" i="13"/>
  <c r="J628" i="13"/>
  <c r="I1900" i="20"/>
  <c r="I1455" i="20"/>
  <c r="D117" i="13"/>
  <c r="G116" i="13"/>
  <c r="D984" i="13"/>
  <c r="G983" i="13"/>
  <c r="D1814" i="20"/>
  <c r="G1813" i="20"/>
  <c r="H1813" i="20"/>
  <c r="D630" i="13"/>
  <c r="G629" i="13"/>
  <c r="D744" i="20"/>
  <c r="H743" i="20"/>
  <c r="G743" i="20"/>
  <c r="D808" i="13"/>
  <c r="G807" i="13"/>
  <c r="E1755" i="13"/>
  <c r="F1755" i="13" s="1"/>
  <c r="E287" i="13"/>
  <c r="F287" i="13" s="1"/>
  <c r="E208" i="20"/>
  <c r="F208" i="20" s="1"/>
  <c r="D209" i="20" s="1"/>
  <c r="E1927" i="13"/>
  <c r="F1927" i="13" s="1"/>
  <c r="E1190" i="20"/>
  <c r="F1190" i="20" s="1"/>
  <c r="E831" i="20"/>
  <c r="F831" i="20" s="1"/>
  <c r="D832" i="20" s="1"/>
  <c r="E1411" i="13"/>
  <c r="F1411" i="13" s="1"/>
  <c r="E1276" i="20"/>
  <c r="F1276" i="20" s="1"/>
  <c r="E1669" i="13"/>
  <c r="F1669" i="13" s="1"/>
  <c r="E921" i="20"/>
  <c r="F921" i="20" s="1"/>
  <c r="D922" i="20" s="1"/>
  <c r="H115" i="13"/>
  <c r="I115" i="13"/>
  <c r="E119" i="20"/>
  <c r="F119" i="20" s="1"/>
  <c r="E1581" i="13"/>
  <c r="F1581" i="13" s="1"/>
  <c r="H654" i="20"/>
  <c r="J806" i="13"/>
  <c r="G654" i="20"/>
  <c r="G286" i="13"/>
  <c r="I653" i="20"/>
  <c r="H1546" i="20"/>
  <c r="H207" i="20"/>
  <c r="H118" i="20"/>
  <c r="G1926" i="13"/>
  <c r="H892" i="13"/>
  <c r="I892" i="13"/>
  <c r="E1365" i="20"/>
  <c r="F1365" i="20" s="1"/>
  <c r="E1722" i="20"/>
  <c r="F1722" i="20" s="1"/>
  <c r="H1321" i="13"/>
  <c r="I1321" i="13"/>
  <c r="E1099" i="20"/>
  <c r="F1099" i="20" s="1"/>
  <c r="I474" i="20"/>
  <c r="E655" i="20"/>
  <c r="F655" i="20" s="1"/>
  <c r="E1547" i="20"/>
  <c r="F1547" i="20" s="1"/>
  <c r="D1548" i="20" s="1"/>
  <c r="E1240" i="13"/>
  <c r="F1240" i="13" s="1"/>
  <c r="H1410" i="13"/>
  <c r="I1410" i="13"/>
  <c r="E1988" i="20"/>
  <c r="F1988" i="20" s="1"/>
  <c r="H1668" i="13"/>
  <c r="I1668" i="13"/>
  <c r="E1011" i="20"/>
  <c r="F1011" i="20" s="1"/>
  <c r="I1098" i="20"/>
  <c r="E387" i="20"/>
  <c r="F387" i="20" s="1"/>
  <c r="E199" i="13"/>
  <c r="F199" i="13" s="1"/>
  <c r="D200" i="13" s="1"/>
  <c r="H386" i="20"/>
  <c r="H1925" i="13"/>
  <c r="I1925" i="13"/>
  <c r="G1754" i="13"/>
  <c r="I1188" i="20"/>
  <c r="I1812" i="20"/>
  <c r="H1753" i="13"/>
  <c r="I1753" i="13"/>
  <c r="G1546" i="20"/>
  <c r="G1239" i="13"/>
  <c r="G207" i="20"/>
  <c r="J285" i="13"/>
  <c r="G118" i="20"/>
  <c r="H1189" i="20"/>
  <c r="I830" i="20"/>
  <c r="E893" i="13"/>
  <c r="F893" i="13" s="1"/>
  <c r="D894" i="13" s="1"/>
  <c r="E1901" i="20"/>
  <c r="F1901" i="20" s="1"/>
  <c r="E376" i="13"/>
  <c r="F376" i="13" s="1"/>
  <c r="I1010" i="20"/>
  <c r="E1456" i="20"/>
  <c r="F1456" i="20" s="1"/>
  <c r="E1322" i="13"/>
  <c r="F1322" i="13" s="1"/>
  <c r="H1580" i="13"/>
  <c r="I1580" i="13"/>
  <c r="E475" i="20"/>
  <c r="F475" i="20" s="1"/>
  <c r="H49" i="50" l="1"/>
  <c r="K49" i="50"/>
  <c r="D50" i="50" s="1"/>
  <c r="K48" i="49"/>
  <c r="D49" i="49" s="1"/>
  <c r="H48" i="49"/>
  <c r="H198" i="13"/>
  <c r="M198" i="13" s="1"/>
  <c r="P198" i="13" s="1"/>
  <c r="H374" i="13"/>
  <c r="J374" i="13" s="1"/>
  <c r="H1494" i="13"/>
  <c r="J1494" i="13" s="1"/>
  <c r="N178" i="13"/>
  <c r="H375" i="13"/>
  <c r="J375" i="13" s="1"/>
  <c r="P197" i="13"/>
  <c r="I1150" i="13"/>
  <c r="J1150" i="13" s="1"/>
  <c r="H50" i="47"/>
  <c r="H51" i="47" s="1"/>
  <c r="K50" i="47"/>
  <c r="I386" i="20"/>
  <c r="J457" i="13"/>
  <c r="I1189" i="20"/>
  <c r="J373" i="13"/>
  <c r="I1632" i="20"/>
  <c r="J372" i="13"/>
  <c r="I721" i="13"/>
  <c r="J721" i="13" s="1"/>
  <c r="B125" i="2"/>
  <c r="D299" i="2"/>
  <c r="G1495" i="13"/>
  <c r="H1495" i="13" s="1"/>
  <c r="G1839" i="13"/>
  <c r="I1839" i="13" s="1"/>
  <c r="G1065" i="13"/>
  <c r="H1065" i="13" s="1"/>
  <c r="D1928" i="13"/>
  <c r="E1928" i="13" s="1"/>
  <c r="F1928" i="13" s="1"/>
  <c r="G1927" i="13"/>
  <c r="H1927" i="13" s="1"/>
  <c r="D460" i="13"/>
  <c r="E460" i="13" s="1"/>
  <c r="F460" i="13" s="1"/>
  <c r="D461" i="13" s="1"/>
  <c r="G459" i="13"/>
  <c r="I459" i="13" s="1"/>
  <c r="G208" i="20"/>
  <c r="J1064" i="13"/>
  <c r="J1838" i="13"/>
  <c r="F722" i="13"/>
  <c r="D723" i="13" s="1"/>
  <c r="E723" i="13" s="1"/>
  <c r="F723" i="13" s="1"/>
  <c r="D1323" i="13"/>
  <c r="E1323" i="13" s="1"/>
  <c r="F1323" i="13" s="1"/>
  <c r="D1324" i="13" s="1"/>
  <c r="G1322" i="13"/>
  <c r="H1322" i="13" s="1"/>
  <c r="D1723" i="20"/>
  <c r="E1723" i="20" s="1"/>
  <c r="F1723" i="20" s="1"/>
  <c r="G1722" i="20"/>
  <c r="H1722" i="20"/>
  <c r="D1582" i="13"/>
  <c r="E1582" i="13" s="1"/>
  <c r="G1581" i="13"/>
  <c r="I1581" i="13" s="1"/>
  <c r="D120" i="20"/>
  <c r="E120" i="20" s="1"/>
  <c r="H119" i="20"/>
  <c r="G119" i="20"/>
  <c r="G549" i="13"/>
  <c r="G831" i="20"/>
  <c r="H208" i="20"/>
  <c r="H548" i="13"/>
  <c r="I548" i="13"/>
  <c r="E1496" i="13"/>
  <c r="F1496" i="13" s="1"/>
  <c r="E1840" i="13"/>
  <c r="F1840" i="13" s="1"/>
  <c r="D1841" i="13" s="1"/>
  <c r="E1066" i="13"/>
  <c r="F1066" i="13" s="1"/>
  <c r="I458" i="13"/>
  <c r="H458" i="13"/>
  <c r="F550" i="13"/>
  <c r="D551" i="13" s="1"/>
  <c r="D299" i="20"/>
  <c r="E299" i="20" s="1"/>
  <c r="F299" i="20" s="1"/>
  <c r="D300" i="20" s="1"/>
  <c r="G298" i="20"/>
  <c r="I298" i="20" s="1"/>
  <c r="J1925" i="13"/>
  <c r="I654" i="20"/>
  <c r="I118" i="20"/>
  <c r="J115" i="13"/>
  <c r="D1670" i="13"/>
  <c r="G1669" i="13"/>
  <c r="D476" i="20"/>
  <c r="G475" i="20"/>
  <c r="H475" i="20"/>
  <c r="D1989" i="20"/>
  <c r="G1988" i="20"/>
  <c r="H1988" i="20"/>
  <c r="D288" i="13"/>
  <c r="G287" i="13"/>
  <c r="D1012" i="20"/>
  <c r="H1011" i="20"/>
  <c r="G1011" i="20"/>
  <c r="D1457" i="20"/>
  <c r="G1456" i="20"/>
  <c r="H1456" i="20"/>
  <c r="D1100" i="20"/>
  <c r="G1099" i="20"/>
  <c r="H1099" i="20"/>
  <c r="D1634" i="20"/>
  <c r="H1633" i="20"/>
  <c r="G1633" i="20"/>
  <c r="D1277" i="20"/>
  <c r="H1276" i="20"/>
  <c r="G1276" i="20"/>
  <c r="D377" i="13"/>
  <c r="G376" i="13"/>
  <c r="D656" i="20"/>
  <c r="G655" i="20"/>
  <c r="H655" i="20"/>
  <c r="D1902" i="20"/>
  <c r="H1901" i="20"/>
  <c r="G1901" i="20"/>
  <c r="D1756" i="13"/>
  <c r="G1755" i="13"/>
  <c r="D388" i="20"/>
  <c r="G387" i="20"/>
  <c r="H387" i="20"/>
  <c r="D1241" i="13"/>
  <c r="G1240" i="13"/>
  <c r="D1366" i="20"/>
  <c r="G1365" i="20"/>
  <c r="H1365" i="20"/>
  <c r="D1412" i="13"/>
  <c r="G1411" i="13"/>
  <c r="D1191" i="20"/>
  <c r="H1190" i="20"/>
  <c r="G1190" i="20"/>
  <c r="E894" i="13"/>
  <c r="F894" i="13" s="1"/>
  <c r="D895" i="13" s="1"/>
  <c r="E200" i="13"/>
  <c r="F200" i="13" s="1"/>
  <c r="E922" i="20"/>
  <c r="F922" i="20" s="1"/>
  <c r="E1152" i="13"/>
  <c r="F1152" i="13" s="1"/>
  <c r="D1153" i="13" s="1"/>
  <c r="H807" i="13"/>
  <c r="I807" i="13"/>
  <c r="J1580" i="13"/>
  <c r="J1753" i="13"/>
  <c r="J1410" i="13"/>
  <c r="J1321" i="13"/>
  <c r="J892" i="13"/>
  <c r="H921" i="20"/>
  <c r="E832" i="20"/>
  <c r="F832" i="20" s="1"/>
  <c r="E808" i="13"/>
  <c r="F808" i="13" s="1"/>
  <c r="D809" i="13" s="1"/>
  <c r="H629" i="13"/>
  <c r="I629" i="13"/>
  <c r="E1814" i="20"/>
  <c r="F1814" i="20" s="1"/>
  <c r="D1815" i="20" s="1"/>
  <c r="E744" i="20"/>
  <c r="F744" i="20" s="1"/>
  <c r="D745" i="20" s="1"/>
  <c r="G199" i="13"/>
  <c r="H1547" i="20"/>
  <c r="I207" i="20"/>
  <c r="H286" i="13"/>
  <c r="I286" i="13"/>
  <c r="G921" i="20"/>
  <c r="E209" i="20"/>
  <c r="F209" i="20" s="1"/>
  <c r="E630" i="13"/>
  <c r="F630" i="13" s="1"/>
  <c r="H983" i="13"/>
  <c r="I983" i="13"/>
  <c r="H116" i="13"/>
  <c r="I116" i="13"/>
  <c r="E1548" i="20"/>
  <c r="F1548" i="20" s="1"/>
  <c r="D1549" i="20" s="1"/>
  <c r="G893" i="13"/>
  <c r="H1239" i="13"/>
  <c r="I1239" i="13"/>
  <c r="H1754" i="13"/>
  <c r="I1754" i="13"/>
  <c r="J1668" i="13"/>
  <c r="G1547" i="20"/>
  <c r="H1926" i="13"/>
  <c r="I1926" i="13"/>
  <c r="I1546" i="20"/>
  <c r="H831" i="20"/>
  <c r="G1151" i="13"/>
  <c r="I743" i="20"/>
  <c r="I1813" i="20"/>
  <c r="E984" i="13"/>
  <c r="F984" i="13" s="1"/>
  <c r="E117" i="13"/>
  <c r="F117" i="13" s="1"/>
  <c r="K49" i="49" l="1"/>
  <c r="D50" i="49" s="1"/>
  <c r="H49" i="49"/>
  <c r="K50" i="50"/>
  <c r="H50" i="50"/>
  <c r="H51" i="50" s="1"/>
  <c r="J198" i="13"/>
  <c r="M178" i="13"/>
  <c r="M179" i="13" s="1"/>
  <c r="H1581" i="13"/>
  <c r="J1581" i="13" s="1"/>
  <c r="N179" i="13"/>
  <c r="G722" i="13"/>
  <c r="I722" i="13" s="1"/>
  <c r="H1839" i="13"/>
  <c r="H459" i="13"/>
  <c r="J459" i="13" s="1"/>
  <c r="I1065" i="13"/>
  <c r="J1065" i="13" s="1"/>
  <c r="I1495" i="13"/>
  <c r="J1495" i="13" s="1"/>
  <c r="I831" i="20"/>
  <c r="I1722" i="20"/>
  <c r="I208" i="20"/>
  <c r="I1927" i="13"/>
  <c r="J1927" i="13" s="1"/>
  <c r="J458" i="13"/>
  <c r="C28" i="13"/>
  <c r="B140" i="2"/>
  <c r="C28" i="20"/>
  <c r="I1322" i="13"/>
  <c r="J1322" i="13" s="1"/>
  <c r="G299" i="20"/>
  <c r="G550" i="13"/>
  <c r="H550" i="13" s="1"/>
  <c r="D1067" i="13"/>
  <c r="E1067" i="13" s="1"/>
  <c r="F1067" i="13" s="1"/>
  <c r="D1068" i="13" s="1"/>
  <c r="G1066" i="13"/>
  <c r="H1066" i="13" s="1"/>
  <c r="F120" i="20"/>
  <c r="D121" i="20" s="1"/>
  <c r="E121" i="20" s="1"/>
  <c r="F121" i="20" s="1"/>
  <c r="G744" i="20"/>
  <c r="G808" i="13"/>
  <c r="H808" i="13" s="1"/>
  <c r="J548" i="13"/>
  <c r="F1582" i="13"/>
  <c r="D1583" i="13" s="1"/>
  <c r="E1583" i="13" s="1"/>
  <c r="F1583" i="13" s="1"/>
  <c r="I119" i="20"/>
  <c r="D1497" i="13"/>
  <c r="G1496" i="13"/>
  <c r="D210" i="20"/>
  <c r="E210" i="20" s="1"/>
  <c r="F210" i="20" s="1"/>
  <c r="G209" i="20"/>
  <c r="D1724" i="20"/>
  <c r="G1723" i="20"/>
  <c r="H1723" i="20"/>
  <c r="F551" i="13"/>
  <c r="D552" i="13" s="1"/>
  <c r="I549" i="13"/>
  <c r="H549" i="13"/>
  <c r="H299" i="20"/>
  <c r="G460" i="13"/>
  <c r="G1840" i="13"/>
  <c r="J1839" i="13"/>
  <c r="E461" i="13"/>
  <c r="F461" i="13" s="1"/>
  <c r="D462" i="13" s="1"/>
  <c r="E1841" i="13"/>
  <c r="F1841" i="13" s="1"/>
  <c r="I1190" i="20"/>
  <c r="I1365" i="20"/>
  <c r="J1926" i="13"/>
  <c r="J286" i="13"/>
  <c r="J629" i="13"/>
  <c r="I1456" i="20"/>
  <c r="I1988" i="20"/>
  <c r="J1754" i="13"/>
  <c r="J983" i="13"/>
  <c r="I387" i="20"/>
  <c r="I655" i="20"/>
  <c r="I475" i="20"/>
  <c r="I1547" i="20"/>
  <c r="I921" i="20"/>
  <c r="J116" i="13"/>
  <c r="D985" i="13"/>
  <c r="G984" i="13"/>
  <c r="D724" i="13"/>
  <c r="G723" i="13"/>
  <c r="D833" i="20"/>
  <c r="G832" i="20"/>
  <c r="H832" i="20"/>
  <c r="D201" i="13"/>
  <c r="G200" i="13"/>
  <c r="D1929" i="13"/>
  <c r="G1928" i="13"/>
  <c r="D923" i="20"/>
  <c r="H922" i="20"/>
  <c r="G922" i="20"/>
  <c r="D118" i="13"/>
  <c r="G117" i="13"/>
  <c r="D631" i="13"/>
  <c r="G630" i="13"/>
  <c r="E1902" i="20"/>
  <c r="F1902" i="20" s="1"/>
  <c r="E300" i="20"/>
  <c r="F300" i="20" s="1"/>
  <c r="H287" i="13"/>
  <c r="I287" i="13"/>
  <c r="E809" i="13"/>
  <c r="F809" i="13" s="1"/>
  <c r="E1153" i="13"/>
  <c r="F1153" i="13" s="1"/>
  <c r="D1154" i="13" s="1"/>
  <c r="E1191" i="20"/>
  <c r="F1191" i="20" s="1"/>
  <c r="E1756" i="13"/>
  <c r="F1756" i="13" s="1"/>
  <c r="D1757" i="13" s="1"/>
  <c r="E377" i="13"/>
  <c r="F377" i="13" s="1"/>
  <c r="D378" i="13" s="1"/>
  <c r="I1633" i="20"/>
  <c r="E1100" i="20"/>
  <c r="F1100" i="20" s="1"/>
  <c r="D1101" i="20" s="1"/>
  <c r="E288" i="13"/>
  <c r="F288" i="13" s="1"/>
  <c r="D289" i="13" s="1"/>
  <c r="E1670" i="13"/>
  <c r="F1670" i="13" s="1"/>
  <c r="E1324" i="13"/>
  <c r="F1324" i="13" s="1"/>
  <c r="D1325" i="13" s="1"/>
  <c r="E1815" i="20"/>
  <c r="F1815" i="20" s="1"/>
  <c r="E895" i="13"/>
  <c r="F895" i="13" s="1"/>
  <c r="H1755" i="13"/>
  <c r="I1755" i="13"/>
  <c r="H1669" i="13"/>
  <c r="I1669" i="13"/>
  <c r="E745" i="20"/>
  <c r="F745" i="20" s="1"/>
  <c r="D746" i="20" s="1"/>
  <c r="H893" i="13"/>
  <c r="I893" i="13"/>
  <c r="H1548" i="20"/>
  <c r="E1724" i="20"/>
  <c r="F1724" i="20" s="1"/>
  <c r="H199" i="13"/>
  <c r="I199" i="13"/>
  <c r="H1814" i="20"/>
  <c r="G1152" i="13"/>
  <c r="G894" i="13"/>
  <c r="H1411" i="13"/>
  <c r="I1411" i="13"/>
  <c r="E1366" i="20"/>
  <c r="F1366" i="20" s="1"/>
  <c r="D1367" i="20" s="1"/>
  <c r="I1276" i="20"/>
  <c r="E1634" i="20"/>
  <c r="F1634" i="20" s="1"/>
  <c r="D1635" i="20" s="1"/>
  <c r="I1011" i="20"/>
  <c r="E1549" i="20"/>
  <c r="F1549" i="20" s="1"/>
  <c r="I808" i="13"/>
  <c r="E1241" i="13"/>
  <c r="F1241" i="13" s="1"/>
  <c r="H376" i="13"/>
  <c r="I376" i="13"/>
  <c r="E1457" i="20"/>
  <c r="F1457" i="20" s="1"/>
  <c r="E1989" i="20"/>
  <c r="F1989" i="20" s="1"/>
  <c r="H1151" i="13"/>
  <c r="I1151" i="13"/>
  <c r="J1239" i="13"/>
  <c r="G1323" i="13"/>
  <c r="G1548" i="20"/>
  <c r="H209" i="20"/>
  <c r="H744" i="20"/>
  <c r="G1814" i="20"/>
  <c r="J807" i="13"/>
  <c r="E1412" i="13"/>
  <c r="F1412" i="13" s="1"/>
  <c r="H1240" i="13"/>
  <c r="I1240" i="13"/>
  <c r="E388" i="20"/>
  <c r="F388" i="20" s="1"/>
  <c r="I1901" i="20"/>
  <c r="E656" i="20"/>
  <c r="F656" i="20" s="1"/>
  <c r="D657" i="20" s="1"/>
  <c r="E1277" i="20"/>
  <c r="F1277" i="20" s="1"/>
  <c r="D1278" i="20" s="1"/>
  <c r="I1099" i="20"/>
  <c r="E1012" i="20"/>
  <c r="F1012" i="20" s="1"/>
  <c r="E476" i="20"/>
  <c r="F476" i="20" s="1"/>
  <c r="K50" i="49" l="1"/>
  <c r="H50" i="49"/>
  <c r="H51" i="49" s="1"/>
  <c r="H120" i="20"/>
  <c r="O178" i="13"/>
  <c r="O179" i="13" s="1"/>
  <c r="H722" i="13"/>
  <c r="J722" i="13" s="1"/>
  <c r="I550" i="13"/>
  <c r="J550" i="13" s="1"/>
  <c r="G120" i="20"/>
  <c r="I120" i="20" s="1"/>
  <c r="G461" i="13"/>
  <c r="H461" i="13" s="1"/>
  <c r="G1582" i="13"/>
  <c r="I1582" i="13" s="1"/>
  <c r="I744" i="20"/>
  <c r="I299" i="20"/>
  <c r="I1066" i="13"/>
  <c r="J1066" i="13" s="1"/>
  <c r="G551" i="13"/>
  <c r="H551" i="13" s="1"/>
  <c r="B141" i="2"/>
  <c r="B142" i="2" s="1"/>
  <c r="B143" i="2" s="1"/>
  <c r="B144" i="2" s="1"/>
  <c r="E145" i="2" s="1"/>
  <c r="I1723" i="20"/>
  <c r="G1067" i="13"/>
  <c r="H1067" i="13" s="1"/>
  <c r="D1725" i="20"/>
  <c r="E1725" i="20" s="1"/>
  <c r="F1725" i="20" s="1"/>
  <c r="G1724" i="20"/>
  <c r="D1550" i="20"/>
  <c r="E1550" i="20" s="1"/>
  <c r="F1550" i="20" s="1"/>
  <c r="G1549" i="20"/>
  <c r="D211" i="20"/>
  <c r="E211" i="20" s="1"/>
  <c r="F211" i="20" s="1"/>
  <c r="H210" i="20"/>
  <c r="D1842" i="13"/>
  <c r="G1841" i="13"/>
  <c r="I209" i="20"/>
  <c r="H1840" i="13"/>
  <c r="I1840" i="13"/>
  <c r="J549" i="13"/>
  <c r="H1100" i="20"/>
  <c r="E1068" i="13"/>
  <c r="F1068" i="13" s="1"/>
  <c r="H460" i="13"/>
  <c r="I460" i="13"/>
  <c r="I1496" i="13"/>
  <c r="H1496" i="13"/>
  <c r="G1366" i="20"/>
  <c r="G288" i="13"/>
  <c r="H288" i="13" s="1"/>
  <c r="G1100" i="20"/>
  <c r="E462" i="13"/>
  <c r="F462" i="13" s="1"/>
  <c r="F552" i="13"/>
  <c r="D553" i="13" s="1"/>
  <c r="E1497" i="13"/>
  <c r="F1497" i="13" s="1"/>
  <c r="D1498" i="13" s="1"/>
  <c r="J893" i="13"/>
  <c r="J287" i="13"/>
  <c r="J808" i="13"/>
  <c r="J199" i="13"/>
  <c r="J1755" i="13"/>
  <c r="J376" i="13"/>
  <c r="I832" i="20"/>
  <c r="I1814" i="20"/>
  <c r="I1548" i="20"/>
  <c r="D389" i="20"/>
  <c r="H388" i="20"/>
  <c r="G388" i="20"/>
  <c r="D301" i="20"/>
  <c r="H300" i="20"/>
  <c r="G300" i="20"/>
  <c r="D477" i="20"/>
  <c r="G476" i="20"/>
  <c r="H476" i="20"/>
  <c r="D1458" i="20"/>
  <c r="H1457" i="20"/>
  <c r="G1457" i="20"/>
  <c r="D1013" i="20"/>
  <c r="G1012" i="20"/>
  <c r="H1012" i="20"/>
  <c r="D896" i="13"/>
  <c r="G895" i="13"/>
  <c r="D1671" i="13"/>
  <c r="G1670" i="13"/>
  <c r="D810" i="13"/>
  <c r="G809" i="13"/>
  <c r="D1903" i="20"/>
  <c r="H1902" i="20"/>
  <c r="G1902" i="20"/>
  <c r="D1584" i="13"/>
  <c r="G1583" i="13"/>
  <c r="D1413" i="13"/>
  <c r="G1412" i="13"/>
  <c r="D1990" i="20"/>
  <c r="H1989" i="20"/>
  <c r="G1989" i="20"/>
  <c r="D1242" i="13"/>
  <c r="G1241" i="13"/>
  <c r="D122" i="20"/>
  <c r="G121" i="20"/>
  <c r="H121" i="20"/>
  <c r="D1816" i="20"/>
  <c r="G1815" i="20"/>
  <c r="H1815" i="20"/>
  <c r="D1192" i="20"/>
  <c r="H1191" i="20"/>
  <c r="G1191" i="20"/>
  <c r="E1278" i="20"/>
  <c r="F1278" i="20" s="1"/>
  <c r="E1325" i="13"/>
  <c r="F1325" i="13" s="1"/>
  <c r="D1326" i="13" s="1"/>
  <c r="E1757" i="13"/>
  <c r="F1757" i="13" s="1"/>
  <c r="D1758" i="13" s="1"/>
  <c r="H117" i="13"/>
  <c r="I117" i="13"/>
  <c r="H723" i="13"/>
  <c r="I723" i="13"/>
  <c r="G210" i="20"/>
  <c r="E1367" i="20"/>
  <c r="F1367" i="20" s="1"/>
  <c r="D1368" i="20" s="1"/>
  <c r="H894" i="13"/>
  <c r="I894" i="13"/>
  <c r="E378" i="13"/>
  <c r="F378" i="13" s="1"/>
  <c r="D379" i="13" s="1"/>
  <c r="G1756" i="13"/>
  <c r="E118" i="13"/>
  <c r="F118" i="13" s="1"/>
  <c r="D119" i="13" s="1"/>
  <c r="H1928" i="13"/>
  <c r="I1928" i="13"/>
  <c r="E724" i="13"/>
  <c r="F724" i="13" s="1"/>
  <c r="E657" i="20"/>
  <c r="F657" i="20" s="1"/>
  <c r="D658" i="20" s="1"/>
  <c r="E1635" i="20"/>
  <c r="F1635" i="20" s="1"/>
  <c r="D1636" i="20" s="1"/>
  <c r="E746" i="20"/>
  <c r="F746" i="20" s="1"/>
  <c r="E1154" i="13"/>
  <c r="F1154" i="13" s="1"/>
  <c r="E923" i="20"/>
  <c r="F923" i="20" s="1"/>
  <c r="E201" i="13"/>
  <c r="F201" i="13" s="1"/>
  <c r="H1277" i="20"/>
  <c r="H656" i="20"/>
  <c r="J1151" i="13"/>
  <c r="H1634" i="20"/>
  <c r="H1152" i="13"/>
  <c r="I1152" i="13"/>
  <c r="H745" i="20"/>
  <c r="J1669" i="13"/>
  <c r="G1324" i="13"/>
  <c r="E289" i="13"/>
  <c r="F289" i="13" s="1"/>
  <c r="E1101" i="20"/>
  <c r="F1101" i="20" s="1"/>
  <c r="G377" i="13"/>
  <c r="H630" i="13"/>
  <c r="I630" i="13"/>
  <c r="E1929" i="13"/>
  <c r="F1929" i="13" s="1"/>
  <c r="H984" i="13"/>
  <c r="I984" i="13"/>
  <c r="G1277" i="20"/>
  <c r="G656" i="20"/>
  <c r="J1240" i="13"/>
  <c r="H1323" i="13"/>
  <c r="I1323" i="13"/>
  <c r="H1549" i="20"/>
  <c r="G1634" i="20"/>
  <c r="H1366" i="20"/>
  <c r="J1411" i="13"/>
  <c r="H1724" i="20"/>
  <c r="G745" i="20"/>
  <c r="G1153" i="13"/>
  <c r="E631" i="13"/>
  <c r="F631" i="13" s="1"/>
  <c r="I922" i="20"/>
  <c r="H200" i="13"/>
  <c r="I200" i="13"/>
  <c r="E833" i="20"/>
  <c r="F833" i="20" s="1"/>
  <c r="D834" i="20" s="1"/>
  <c r="E985" i="13"/>
  <c r="F985" i="13" s="1"/>
  <c r="I461" i="13" l="1"/>
  <c r="J461" i="13" s="1"/>
  <c r="H1582" i="13"/>
  <c r="J1582" i="13" s="1"/>
  <c r="I551" i="13"/>
  <c r="J551" i="13" s="1"/>
  <c r="I1366" i="20"/>
  <c r="I288" i="13"/>
  <c r="J288" i="13" s="1"/>
  <c r="I1100" i="20"/>
  <c r="I1724" i="20"/>
  <c r="B145" i="2"/>
  <c r="B146" i="2" s="1"/>
  <c r="I210" i="20"/>
  <c r="I1067" i="13"/>
  <c r="J1067" i="13" s="1"/>
  <c r="D463" i="13"/>
  <c r="G462" i="13"/>
  <c r="D747" i="20"/>
  <c r="G746" i="20"/>
  <c r="D632" i="13"/>
  <c r="E632" i="13" s="1"/>
  <c r="F632" i="13" s="1"/>
  <c r="G631" i="13"/>
  <c r="I631" i="13" s="1"/>
  <c r="D924" i="20"/>
  <c r="E924" i="20" s="1"/>
  <c r="H923" i="20"/>
  <c r="G923" i="20"/>
  <c r="E1498" i="13"/>
  <c r="F1498" i="13" s="1"/>
  <c r="F553" i="13"/>
  <c r="D554" i="13" s="1"/>
  <c r="D1069" i="13"/>
  <c r="G1068" i="13"/>
  <c r="H1841" i="13"/>
  <c r="I1841" i="13"/>
  <c r="I1549" i="20"/>
  <c r="G1757" i="13"/>
  <c r="I1757" i="13" s="1"/>
  <c r="E1842" i="13"/>
  <c r="F1842" i="13" s="1"/>
  <c r="D1843" i="13" s="1"/>
  <c r="G1497" i="13"/>
  <c r="J1496" i="13"/>
  <c r="G833" i="20"/>
  <c r="G1635" i="20"/>
  <c r="G552" i="13"/>
  <c r="J460" i="13"/>
  <c r="J1840" i="13"/>
  <c r="J984" i="13"/>
  <c r="J723" i="13"/>
  <c r="I1012" i="20"/>
  <c r="J1928" i="13"/>
  <c r="J630" i="13"/>
  <c r="I1989" i="20"/>
  <c r="J1323" i="13"/>
  <c r="J894" i="13"/>
  <c r="I121" i="20"/>
  <c r="D986" i="13"/>
  <c r="G985" i="13"/>
  <c r="D1726" i="20"/>
  <c r="H1725" i="20"/>
  <c r="G1725" i="20"/>
  <c r="D212" i="20"/>
  <c r="G211" i="20"/>
  <c r="H211" i="20"/>
  <c r="D1930" i="13"/>
  <c r="G1929" i="13"/>
  <c r="D1102" i="20"/>
  <c r="G1101" i="20"/>
  <c r="H1101" i="20"/>
  <c r="D725" i="13"/>
  <c r="G724" i="13"/>
  <c r="D1551" i="20"/>
  <c r="G1550" i="20"/>
  <c r="H1550" i="20"/>
  <c r="D1155" i="13"/>
  <c r="G1154" i="13"/>
  <c r="D202" i="13"/>
  <c r="G201" i="13"/>
  <c r="D290" i="13"/>
  <c r="G289" i="13"/>
  <c r="D1279" i="20"/>
  <c r="H1278" i="20"/>
  <c r="G1278" i="20"/>
  <c r="H1324" i="13"/>
  <c r="I1324" i="13"/>
  <c r="E1326" i="13"/>
  <c r="F1326" i="13" s="1"/>
  <c r="D1327" i="13" s="1"/>
  <c r="E834" i="20"/>
  <c r="F834" i="20" s="1"/>
  <c r="H1756" i="13"/>
  <c r="I1756" i="13"/>
  <c r="E1758" i="13"/>
  <c r="F1758" i="13" s="1"/>
  <c r="I1191" i="20"/>
  <c r="E1816" i="20"/>
  <c r="F1816" i="20" s="1"/>
  <c r="D1817" i="20" s="1"/>
  <c r="H1241" i="13"/>
  <c r="I1241" i="13"/>
  <c r="E1990" i="20"/>
  <c r="F1990" i="20" s="1"/>
  <c r="I1902" i="20"/>
  <c r="H1670" i="13"/>
  <c r="I1670" i="13"/>
  <c r="I1457" i="20"/>
  <c r="E477" i="20"/>
  <c r="F477" i="20" s="1"/>
  <c r="D478" i="20" s="1"/>
  <c r="I1277" i="20"/>
  <c r="E658" i="20"/>
  <c r="F658" i="20" s="1"/>
  <c r="E1368" i="20"/>
  <c r="F1368" i="20" s="1"/>
  <c r="D1369" i="20" s="1"/>
  <c r="E896" i="13"/>
  <c r="F896" i="13" s="1"/>
  <c r="E301" i="20"/>
  <c r="F301" i="20" s="1"/>
  <c r="D302" i="20" s="1"/>
  <c r="I1634" i="20"/>
  <c r="E747" i="20"/>
  <c r="F747" i="20" s="1"/>
  <c r="D748" i="20" s="1"/>
  <c r="I745" i="20"/>
  <c r="H657" i="20"/>
  <c r="G378" i="13"/>
  <c r="H1367" i="20"/>
  <c r="J117" i="13"/>
  <c r="E1192" i="20"/>
  <c r="F1192" i="20" s="1"/>
  <c r="E1242" i="13"/>
  <c r="F1242" i="13" s="1"/>
  <c r="H1412" i="13"/>
  <c r="I1412" i="13"/>
  <c r="H1583" i="13"/>
  <c r="I1583" i="13"/>
  <c r="E1903" i="20"/>
  <c r="F1903" i="20" s="1"/>
  <c r="E1671" i="13"/>
  <c r="F1671" i="13" s="1"/>
  <c r="D1672" i="13" s="1"/>
  <c r="E1458" i="20"/>
  <c r="F1458" i="20" s="1"/>
  <c r="D1459" i="20" s="1"/>
  <c r="I388" i="20"/>
  <c r="H377" i="13"/>
  <c r="I377" i="13"/>
  <c r="E119" i="13"/>
  <c r="F119" i="13" s="1"/>
  <c r="D120" i="13" s="1"/>
  <c r="E379" i="13"/>
  <c r="F379" i="13" s="1"/>
  <c r="E122" i="20"/>
  <c r="F122" i="20" s="1"/>
  <c r="D123" i="20" s="1"/>
  <c r="E810" i="13"/>
  <c r="F810" i="13" s="1"/>
  <c r="H1153" i="13"/>
  <c r="I1153" i="13"/>
  <c r="E1636" i="20"/>
  <c r="F1636" i="20" s="1"/>
  <c r="D1637" i="20" s="1"/>
  <c r="H833" i="20"/>
  <c r="J200" i="13"/>
  <c r="J1152" i="13"/>
  <c r="I656" i="20"/>
  <c r="H746" i="20"/>
  <c r="H1635" i="20"/>
  <c r="G657" i="20"/>
  <c r="G118" i="13"/>
  <c r="G1367" i="20"/>
  <c r="G1325" i="13"/>
  <c r="I1815" i="20"/>
  <c r="E1413" i="13"/>
  <c r="F1413" i="13" s="1"/>
  <c r="E1584" i="13"/>
  <c r="F1584" i="13" s="1"/>
  <c r="H809" i="13"/>
  <c r="I809" i="13"/>
  <c r="H895" i="13"/>
  <c r="I895" i="13"/>
  <c r="E1013" i="20"/>
  <c r="F1013" i="20" s="1"/>
  <c r="I476" i="20"/>
  <c r="I300" i="20"/>
  <c r="E389" i="20"/>
  <c r="F389" i="20" s="1"/>
  <c r="G553" i="13" l="1"/>
  <c r="I1635" i="20"/>
  <c r="J1841" i="13"/>
  <c r="H631" i="13"/>
  <c r="J631" i="13" s="1"/>
  <c r="I923" i="20"/>
  <c r="B147" i="2"/>
  <c r="D294" i="2"/>
  <c r="E44" i="2"/>
  <c r="H1757" i="13"/>
  <c r="J1757" i="13" s="1"/>
  <c r="D835" i="20"/>
  <c r="E835" i="20" s="1"/>
  <c r="F835" i="20" s="1"/>
  <c r="G834" i="20"/>
  <c r="H1636" i="20"/>
  <c r="G1636" i="20"/>
  <c r="G1842" i="13"/>
  <c r="H1842" i="13" s="1"/>
  <c r="G1458" i="20"/>
  <c r="D633" i="13"/>
  <c r="E633" i="13" s="1"/>
  <c r="F633" i="13" s="1"/>
  <c r="G632" i="13"/>
  <c r="H632" i="13" s="1"/>
  <c r="D1499" i="13"/>
  <c r="G1498" i="13"/>
  <c r="E1843" i="13"/>
  <c r="F1843" i="13" s="1"/>
  <c r="D1844" i="13" s="1"/>
  <c r="I553" i="13"/>
  <c r="H553" i="13"/>
  <c r="H462" i="13"/>
  <c r="I462" i="13"/>
  <c r="H1497" i="13"/>
  <c r="I1497" i="13"/>
  <c r="I1068" i="13"/>
  <c r="H1068" i="13"/>
  <c r="I746" i="20"/>
  <c r="E1069" i="13"/>
  <c r="F1069" i="13" s="1"/>
  <c r="D1070" i="13" s="1"/>
  <c r="F924" i="20"/>
  <c r="D925" i="20" s="1"/>
  <c r="E925" i="20" s="1"/>
  <c r="F925" i="20" s="1"/>
  <c r="I833" i="20"/>
  <c r="G301" i="20"/>
  <c r="G1816" i="20"/>
  <c r="H834" i="20"/>
  <c r="I552" i="13"/>
  <c r="H552" i="13"/>
  <c r="F554" i="13"/>
  <c r="D555" i="13" s="1"/>
  <c r="E463" i="13"/>
  <c r="F463" i="13" s="1"/>
  <c r="D464" i="13" s="1"/>
  <c r="J377" i="13"/>
  <c r="I211" i="20"/>
  <c r="J895" i="13"/>
  <c r="I1278" i="20"/>
  <c r="I1725" i="20"/>
  <c r="I1550" i="20"/>
  <c r="J1412" i="13"/>
  <c r="J1241" i="13"/>
  <c r="J1756" i="13"/>
  <c r="D811" i="13"/>
  <c r="G810" i="13"/>
  <c r="D897" i="13"/>
  <c r="G896" i="13"/>
  <c r="D1585" i="13"/>
  <c r="G1584" i="13"/>
  <c r="D1243" i="13"/>
  <c r="G1242" i="13"/>
  <c r="D659" i="20"/>
  <c r="G658" i="20"/>
  <c r="H658" i="20"/>
  <c r="D1414" i="13"/>
  <c r="G1413" i="13"/>
  <c r="D1193" i="20"/>
  <c r="G1192" i="20"/>
  <c r="H1192" i="20"/>
  <c r="D1991" i="20"/>
  <c r="G1990" i="20"/>
  <c r="H1990" i="20"/>
  <c r="D1014" i="20"/>
  <c r="G1013" i="20"/>
  <c r="H1013" i="20"/>
  <c r="D1904" i="20"/>
  <c r="G1903" i="20"/>
  <c r="H1903" i="20"/>
  <c r="D390" i="20"/>
  <c r="H389" i="20"/>
  <c r="G389" i="20"/>
  <c r="D380" i="13"/>
  <c r="G379" i="13"/>
  <c r="D1759" i="13"/>
  <c r="G1758" i="13"/>
  <c r="E1672" i="13"/>
  <c r="F1672" i="13" s="1"/>
  <c r="H378" i="13"/>
  <c r="I378" i="13"/>
  <c r="E748" i="20"/>
  <c r="F748" i="20" s="1"/>
  <c r="E1327" i="13"/>
  <c r="F1327" i="13" s="1"/>
  <c r="H289" i="13"/>
  <c r="I289" i="13"/>
  <c r="H118" i="13"/>
  <c r="I118" i="13"/>
  <c r="E1637" i="20"/>
  <c r="F1637" i="20" s="1"/>
  <c r="E120" i="13"/>
  <c r="F120" i="13" s="1"/>
  <c r="D121" i="13" s="1"/>
  <c r="E1459" i="20"/>
  <c r="F1459" i="20" s="1"/>
  <c r="I657" i="20"/>
  <c r="E302" i="20"/>
  <c r="F302" i="20" s="1"/>
  <c r="D303" i="20" s="1"/>
  <c r="E1817" i="20"/>
  <c r="F1817" i="20" s="1"/>
  <c r="D1818" i="20" s="1"/>
  <c r="E1279" i="20"/>
  <c r="F1279" i="20" s="1"/>
  <c r="E290" i="13"/>
  <c r="F290" i="13" s="1"/>
  <c r="D291" i="13" s="1"/>
  <c r="E1155" i="13"/>
  <c r="F1155" i="13" s="1"/>
  <c r="H724" i="13"/>
  <c r="I724" i="13"/>
  <c r="E1102" i="20"/>
  <c r="F1102" i="20" s="1"/>
  <c r="E1726" i="20"/>
  <c r="F1726" i="20" s="1"/>
  <c r="E123" i="20"/>
  <c r="F123" i="20" s="1"/>
  <c r="D124" i="20" s="1"/>
  <c r="E1369" i="20"/>
  <c r="F1369" i="20" s="1"/>
  <c r="D1370" i="20" s="1"/>
  <c r="E478" i="20"/>
  <c r="F478" i="20" s="1"/>
  <c r="H1154" i="13"/>
  <c r="I1154" i="13"/>
  <c r="E1551" i="20"/>
  <c r="F1551" i="20" s="1"/>
  <c r="D1552" i="20" s="1"/>
  <c r="H1325" i="13"/>
  <c r="I1325" i="13"/>
  <c r="H122" i="20"/>
  <c r="J1583" i="13"/>
  <c r="H747" i="20"/>
  <c r="H1368" i="20"/>
  <c r="H477" i="20"/>
  <c r="G1326" i="13"/>
  <c r="H201" i="13"/>
  <c r="I201" i="13"/>
  <c r="E725" i="13"/>
  <c r="F725" i="13" s="1"/>
  <c r="D726" i="13" s="1"/>
  <c r="H1929" i="13"/>
  <c r="I1929" i="13"/>
  <c r="E212" i="20"/>
  <c r="F212" i="20" s="1"/>
  <c r="D213" i="20" s="1"/>
  <c r="H985" i="13"/>
  <c r="I985" i="13"/>
  <c r="J809" i="13"/>
  <c r="J1153" i="13"/>
  <c r="G122" i="20"/>
  <c r="G119" i="13"/>
  <c r="H1458" i="20"/>
  <c r="G1671" i="13"/>
  <c r="I1367" i="20"/>
  <c r="G747" i="20"/>
  <c r="H301" i="20"/>
  <c r="G1368" i="20"/>
  <c r="G477" i="20"/>
  <c r="J1670" i="13"/>
  <c r="H1816" i="20"/>
  <c r="J1324" i="13"/>
  <c r="E202" i="13"/>
  <c r="F202" i="13" s="1"/>
  <c r="I1101" i="20"/>
  <c r="E1930" i="13"/>
  <c r="F1930" i="13" s="1"/>
  <c r="D1931" i="13" s="1"/>
  <c r="E986" i="13"/>
  <c r="F986" i="13" s="1"/>
  <c r="I632" i="13" l="1"/>
  <c r="J632" i="13" s="1"/>
  <c r="G924" i="20"/>
  <c r="I1842" i="13"/>
  <c r="J1842" i="13" s="1"/>
  <c r="H924" i="20"/>
  <c r="J462" i="13"/>
  <c r="I1636" i="20"/>
  <c r="I1816" i="20"/>
  <c r="I834" i="20"/>
  <c r="I1458" i="20"/>
  <c r="G554" i="13"/>
  <c r="I554" i="13" s="1"/>
  <c r="B148" i="2"/>
  <c r="E149" i="2"/>
  <c r="D1156" i="13"/>
  <c r="E1156" i="13" s="1"/>
  <c r="F1156" i="13" s="1"/>
  <c r="G1155" i="13"/>
  <c r="H1155" i="13" s="1"/>
  <c r="G290" i="13"/>
  <c r="H290" i="13" s="1"/>
  <c r="G1817" i="20"/>
  <c r="J553" i="13"/>
  <c r="D1673" i="13"/>
  <c r="G1672" i="13"/>
  <c r="I1672" i="13" s="1"/>
  <c r="I1498" i="13"/>
  <c r="H1498" i="13"/>
  <c r="J552" i="13"/>
  <c r="E464" i="13"/>
  <c r="F464" i="13" s="1"/>
  <c r="D465" i="13" s="1"/>
  <c r="E465" i="13" s="1"/>
  <c r="F465" i="13" s="1"/>
  <c r="D466" i="13" s="1"/>
  <c r="E1070" i="13"/>
  <c r="F1070" i="13" s="1"/>
  <c r="E1844" i="13"/>
  <c r="F1844" i="13" s="1"/>
  <c r="D1845" i="13" s="1"/>
  <c r="E1499" i="13"/>
  <c r="F1499" i="13" s="1"/>
  <c r="D1500" i="13" s="1"/>
  <c r="H212" i="20"/>
  <c r="G725" i="13"/>
  <c r="I725" i="13" s="1"/>
  <c r="H1369" i="20"/>
  <c r="J1068" i="13"/>
  <c r="I301" i="20"/>
  <c r="G212" i="20"/>
  <c r="G1369" i="20"/>
  <c r="G302" i="20"/>
  <c r="G463" i="13"/>
  <c r="F555" i="13"/>
  <c r="D556" i="13" s="1"/>
  <c r="G1069" i="13"/>
  <c r="J1497" i="13"/>
  <c r="G1843" i="13"/>
  <c r="J118" i="13"/>
  <c r="I658" i="20"/>
  <c r="J201" i="13"/>
  <c r="J1154" i="13"/>
  <c r="I1013" i="20"/>
  <c r="I1192" i="20"/>
  <c r="J985" i="13"/>
  <c r="D1103" i="20"/>
  <c r="H1102" i="20"/>
  <c r="G1102" i="20"/>
  <c r="D1727" i="20"/>
  <c r="H1726" i="20"/>
  <c r="G1726" i="20"/>
  <c r="D634" i="13"/>
  <c r="G633" i="13"/>
  <c r="D987" i="13"/>
  <c r="G986" i="13"/>
  <c r="D203" i="13"/>
  <c r="G202" i="13"/>
  <c r="D1280" i="20"/>
  <c r="H1279" i="20"/>
  <c r="G1279" i="20"/>
  <c r="D1328" i="13"/>
  <c r="G1327" i="13"/>
  <c r="D749" i="20"/>
  <c r="H748" i="20"/>
  <c r="G748" i="20"/>
  <c r="D479" i="20"/>
  <c r="H478" i="20"/>
  <c r="G478" i="20"/>
  <c r="D1638" i="20"/>
  <c r="G1637" i="20"/>
  <c r="H1637" i="20"/>
  <c r="D1460" i="20"/>
  <c r="G1459" i="20"/>
  <c r="H1459" i="20"/>
  <c r="D836" i="20"/>
  <c r="G835" i="20"/>
  <c r="H835" i="20"/>
  <c r="D926" i="20"/>
  <c r="G925" i="20"/>
  <c r="H925" i="20"/>
  <c r="H896" i="13"/>
  <c r="I896" i="13"/>
  <c r="H119" i="13"/>
  <c r="I119" i="13"/>
  <c r="E213" i="20"/>
  <c r="F213" i="20" s="1"/>
  <c r="D214" i="20" s="1"/>
  <c r="E726" i="13"/>
  <c r="F726" i="13" s="1"/>
  <c r="D727" i="13" s="1"/>
  <c r="I477" i="20"/>
  <c r="H1551" i="20"/>
  <c r="E1370" i="20"/>
  <c r="F1370" i="20" s="1"/>
  <c r="D1371" i="20" s="1"/>
  <c r="H123" i="20"/>
  <c r="E291" i="13"/>
  <c r="F291" i="13" s="1"/>
  <c r="E1818" i="20"/>
  <c r="F1818" i="20" s="1"/>
  <c r="E303" i="20"/>
  <c r="F303" i="20" s="1"/>
  <c r="E121" i="13"/>
  <c r="F121" i="13" s="1"/>
  <c r="E1759" i="13"/>
  <c r="F1759" i="13" s="1"/>
  <c r="D1760" i="13" s="1"/>
  <c r="I389" i="20"/>
  <c r="E1904" i="20"/>
  <c r="F1904" i="20" s="1"/>
  <c r="E1991" i="20"/>
  <c r="F1991" i="20" s="1"/>
  <c r="D1992" i="20" s="1"/>
  <c r="H1413" i="13"/>
  <c r="I1413" i="13"/>
  <c r="E1243" i="13"/>
  <c r="F1243" i="13" s="1"/>
  <c r="E897" i="13"/>
  <c r="F897" i="13" s="1"/>
  <c r="D898" i="13" s="1"/>
  <c r="E1552" i="20"/>
  <c r="F1552" i="20" s="1"/>
  <c r="E124" i="20"/>
  <c r="F124" i="20" s="1"/>
  <c r="H1758" i="13"/>
  <c r="I1758" i="13"/>
  <c r="E1014" i="20"/>
  <c r="F1014" i="20" s="1"/>
  <c r="E1193" i="20"/>
  <c r="F1193" i="20" s="1"/>
  <c r="H1242" i="13"/>
  <c r="I1242" i="13"/>
  <c r="I1368" i="20"/>
  <c r="I122" i="20"/>
  <c r="G1551" i="20"/>
  <c r="G123" i="20"/>
  <c r="E1673" i="13"/>
  <c r="F1673" i="13" s="1"/>
  <c r="H379" i="13"/>
  <c r="I379" i="13"/>
  <c r="E390" i="20"/>
  <c r="F390" i="20" s="1"/>
  <c r="D391" i="20" s="1"/>
  <c r="E1414" i="13"/>
  <c r="F1414" i="13" s="1"/>
  <c r="H1584" i="13"/>
  <c r="I1584" i="13"/>
  <c r="H810" i="13"/>
  <c r="I810" i="13"/>
  <c r="E1931" i="13"/>
  <c r="F1931" i="13" s="1"/>
  <c r="D1932" i="13" s="1"/>
  <c r="H1326" i="13"/>
  <c r="I1326" i="13"/>
  <c r="G1930" i="13"/>
  <c r="H1671" i="13"/>
  <c r="I1671" i="13"/>
  <c r="J1929" i="13"/>
  <c r="I747" i="20"/>
  <c r="J1325" i="13"/>
  <c r="J724" i="13"/>
  <c r="H1817" i="20"/>
  <c r="H302" i="20"/>
  <c r="G120" i="13"/>
  <c r="J289" i="13"/>
  <c r="J378" i="13"/>
  <c r="E380" i="13"/>
  <c r="F380" i="13" s="1"/>
  <c r="D381" i="13" s="1"/>
  <c r="I1903" i="20"/>
  <c r="I1990" i="20"/>
  <c r="E659" i="20"/>
  <c r="F659" i="20" s="1"/>
  <c r="D660" i="20" s="1"/>
  <c r="E1585" i="13"/>
  <c r="F1585" i="13" s="1"/>
  <c r="E811" i="13"/>
  <c r="F811" i="13" s="1"/>
  <c r="D812" i="13" s="1"/>
  <c r="I290" i="13" l="1"/>
  <c r="H725" i="13"/>
  <c r="J725" i="13" s="1"/>
  <c r="G1499" i="13"/>
  <c r="H1499" i="13" s="1"/>
  <c r="I924" i="20"/>
  <c r="I1155" i="13"/>
  <c r="J1155" i="13" s="1"/>
  <c r="H554" i="13"/>
  <c r="J554" i="13" s="1"/>
  <c r="I302" i="20"/>
  <c r="H1672" i="13"/>
  <c r="J1672" i="13" s="1"/>
  <c r="I1817" i="20"/>
  <c r="G465" i="13"/>
  <c r="H465" i="13" s="1"/>
  <c r="D296" i="2"/>
  <c r="B149" i="2"/>
  <c r="G555" i="13"/>
  <c r="H555" i="13" s="1"/>
  <c r="I1369" i="20"/>
  <c r="G659" i="20"/>
  <c r="I212" i="20"/>
  <c r="G464" i="13"/>
  <c r="H464" i="13" s="1"/>
  <c r="D1071" i="13"/>
  <c r="G1070" i="13"/>
  <c r="D1157" i="13"/>
  <c r="E1157" i="13" s="1"/>
  <c r="F1157" i="13" s="1"/>
  <c r="G1156" i="13"/>
  <c r="H1156" i="13" s="1"/>
  <c r="H1843" i="13"/>
  <c r="I1843" i="13"/>
  <c r="G1844" i="13"/>
  <c r="H390" i="20"/>
  <c r="I463" i="13"/>
  <c r="H463" i="13"/>
  <c r="E1500" i="13"/>
  <c r="F1500" i="13" s="1"/>
  <c r="D1501" i="13" s="1"/>
  <c r="E1845" i="13"/>
  <c r="F1845" i="13" s="1"/>
  <c r="F556" i="13"/>
  <c r="D557" i="13" s="1"/>
  <c r="J1498" i="13"/>
  <c r="H659" i="20"/>
  <c r="H1069" i="13"/>
  <c r="I1069" i="13"/>
  <c r="J1584" i="13"/>
  <c r="J1326" i="13"/>
  <c r="I1726" i="20"/>
  <c r="J379" i="13"/>
  <c r="I123" i="20"/>
  <c r="J290" i="13"/>
  <c r="D125" i="20"/>
  <c r="H124" i="20"/>
  <c r="G124" i="20"/>
  <c r="D1415" i="13"/>
  <c r="G1414" i="13"/>
  <c r="D1905" i="20"/>
  <c r="H1904" i="20"/>
  <c r="G1904" i="20"/>
  <c r="D1553" i="20"/>
  <c r="H1552" i="20"/>
  <c r="G1552" i="20"/>
  <c r="D1819" i="20"/>
  <c r="H1818" i="20"/>
  <c r="G1818" i="20"/>
  <c r="D1586" i="13"/>
  <c r="G1585" i="13"/>
  <c r="D292" i="13"/>
  <c r="G291" i="13"/>
  <c r="D1194" i="20"/>
  <c r="G1193" i="20"/>
  <c r="H1193" i="20"/>
  <c r="D304" i="20"/>
  <c r="H303" i="20"/>
  <c r="G303" i="20"/>
  <c r="D1015" i="20"/>
  <c r="G1014" i="20"/>
  <c r="H1014" i="20"/>
  <c r="D1244" i="13"/>
  <c r="G1243" i="13"/>
  <c r="D1674" i="13"/>
  <c r="G1673" i="13"/>
  <c r="D122" i="13"/>
  <c r="G121" i="13"/>
  <c r="H120" i="13"/>
  <c r="I120" i="13"/>
  <c r="E1932" i="13"/>
  <c r="F1932" i="13" s="1"/>
  <c r="E1371" i="20"/>
  <c r="F1371" i="20" s="1"/>
  <c r="D1372" i="20" s="1"/>
  <c r="E214" i="20"/>
  <c r="F214" i="20" s="1"/>
  <c r="E1638" i="20"/>
  <c r="F1638" i="20" s="1"/>
  <c r="H202" i="13"/>
  <c r="I202" i="13"/>
  <c r="E1727" i="20"/>
  <c r="F1727" i="20" s="1"/>
  <c r="G811" i="13"/>
  <c r="E660" i="20"/>
  <c r="F660" i="20" s="1"/>
  <c r="D661" i="20" s="1"/>
  <c r="G390" i="20"/>
  <c r="J1758" i="13"/>
  <c r="H1991" i="20"/>
  <c r="G1759" i="13"/>
  <c r="H1370" i="20"/>
  <c r="I1551" i="20"/>
  <c r="E926" i="20"/>
  <c r="F926" i="20" s="1"/>
  <c r="D927" i="20" s="1"/>
  <c r="E1460" i="20"/>
  <c r="F1460" i="20" s="1"/>
  <c r="D1461" i="20" s="1"/>
  <c r="I748" i="20"/>
  <c r="E203" i="13"/>
  <c r="F203" i="13" s="1"/>
  <c r="D204" i="13" s="1"/>
  <c r="E634" i="13"/>
  <c r="F634" i="13" s="1"/>
  <c r="E381" i="13"/>
  <c r="F381" i="13" s="1"/>
  <c r="D382" i="13" s="1"/>
  <c r="H1930" i="13"/>
  <c r="I1930" i="13"/>
  <c r="E1760" i="13"/>
  <c r="F1760" i="13" s="1"/>
  <c r="D1761" i="13" s="1"/>
  <c r="E727" i="13"/>
  <c r="F727" i="13" s="1"/>
  <c r="D728" i="13" s="1"/>
  <c r="E836" i="20"/>
  <c r="F836" i="20" s="1"/>
  <c r="E1328" i="13"/>
  <c r="F1328" i="13" s="1"/>
  <c r="H633" i="13"/>
  <c r="I633" i="13"/>
  <c r="J1671" i="13"/>
  <c r="J810" i="13"/>
  <c r="G897" i="13"/>
  <c r="G1991" i="20"/>
  <c r="G1370" i="20"/>
  <c r="H213" i="20"/>
  <c r="J119" i="13"/>
  <c r="J896" i="13"/>
  <c r="I835" i="20"/>
  <c r="E466" i="13"/>
  <c r="F466" i="13" s="1"/>
  <c r="I1637" i="20"/>
  <c r="I478" i="20"/>
  <c r="E749" i="20"/>
  <c r="F749" i="20" s="1"/>
  <c r="D750" i="20" s="1"/>
  <c r="I1279" i="20"/>
  <c r="H986" i="13"/>
  <c r="I986" i="13"/>
  <c r="I1102" i="20"/>
  <c r="E1992" i="20"/>
  <c r="F1992" i="20" s="1"/>
  <c r="D1993" i="20" s="1"/>
  <c r="E812" i="13"/>
  <c r="F812" i="13" s="1"/>
  <c r="D813" i="13" s="1"/>
  <c r="G380" i="13"/>
  <c r="G1931" i="13"/>
  <c r="E391" i="20"/>
  <c r="F391" i="20" s="1"/>
  <c r="D392" i="20" s="1"/>
  <c r="J1242" i="13"/>
  <c r="E898" i="13"/>
  <c r="F898" i="13" s="1"/>
  <c r="J1413" i="13"/>
  <c r="G726" i="13"/>
  <c r="G213" i="20"/>
  <c r="I925" i="20"/>
  <c r="I1459" i="20"/>
  <c r="E479" i="20"/>
  <c r="F479" i="20" s="1"/>
  <c r="D480" i="20" s="1"/>
  <c r="H1327" i="13"/>
  <c r="I1327" i="13"/>
  <c r="E1280" i="20"/>
  <c r="F1280" i="20" s="1"/>
  <c r="E987" i="13"/>
  <c r="F987" i="13" s="1"/>
  <c r="D988" i="13" s="1"/>
  <c r="E1103" i="20"/>
  <c r="F1103" i="20" s="1"/>
  <c r="I1499" i="13" l="1"/>
  <c r="J1499" i="13" s="1"/>
  <c r="I465" i="13"/>
  <c r="J465" i="13" s="1"/>
  <c r="I464" i="13"/>
  <c r="J464" i="13" s="1"/>
  <c r="I659" i="20"/>
  <c r="I555" i="13"/>
  <c r="J555" i="13" s="1"/>
  <c r="E113" i="2"/>
  <c r="B151" i="2"/>
  <c r="D293" i="2"/>
  <c r="J1069" i="13"/>
  <c r="G556" i="13"/>
  <c r="H556" i="13" s="1"/>
  <c r="D1281" i="20"/>
  <c r="E1281" i="20" s="1"/>
  <c r="F1281" i="20" s="1"/>
  <c r="G1280" i="20"/>
  <c r="D1933" i="13"/>
  <c r="E1933" i="13" s="1"/>
  <c r="F1933" i="13" s="1"/>
  <c r="G1932" i="13"/>
  <c r="H1932" i="13" s="1"/>
  <c r="D1846" i="13"/>
  <c r="E1846" i="13" s="1"/>
  <c r="F1846" i="13" s="1"/>
  <c r="D1847" i="13" s="1"/>
  <c r="G1845" i="13"/>
  <c r="I1845" i="13" s="1"/>
  <c r="H926" i="20"/>
  <c r="G926" i="20"/>
  <c r="G1500" i="13"/>
  <c r="I1500" i="13" s="1"/>
  <c r="H660" i="20"/>
  <c r="G987" i="13"/>
  <c r="I987" i="13" s="1"/>
  <c r="G660" i="20"/>
  <c r="J1843" i="13"/>
  <c r="E1501" i="13"/>
  <c r="F1501" i="13" s="1"/>
  <c r="D1502" i="13" s="1"/>
  <c r="H1992" i="20"/>
  <c r="I1156" i="13"/>
  <c r="J1156" i="13" s="1"/>
  <c r="F557" i="13"/>
  <c r="D558" i="13" s="1"/>
  <c r="I1070" i="13"/>
  <c r="H1070" i="13"/>
  <c r="I390" i="20"/>
  <c r="H1280" i="20"/>
  <c r="G1992" i="20"/>
  <c r="J463" i="13"/>
  <c r="I1844" i="13"/>
  <c r="H1844" i="13"/>
  <c r="E1071" i="13"/>
  <c r="F1071" i="13" s="1"/>
  <c r="J202" i="13"/>
  <c r="J1930" i="13"/>
  <c r="J1327" i="13"/>
  <c r="J633" i="13"/>
  <c r="I1370" i="20"/>
  <c r="J120" i="13"/>
  <c r="I1014" i="20"/>
  <c r="I1193" i="20"/>
  <c r="D635" i="13"/>
  <c r="G634" i="13"/>
  <c r="D1639" i="20"/>
  <c r="H1638" i="20"/>
  <c r="G1638" i="20"/>
  <c r="D1329" i="13"/>
  <c r="G1328" i="13"/>
  <c r="D1728" i="20"/>
  <c r="G1727" i="20"/>
  <c r="H1727" i="20"/>
  <c r="D899" i="13"/>
  <c r="G898" i="13"/>
  <c r="D837" i="20"/>
  <c r="G836" i="20"/>
  <c r="H836" i="20"/>
  <c r="D467" i="13"/>
  <c r="G466" i="13"/>
  <c r="D1158" i="13"/>
  <c r="G1157" i="13"/>
  <c r="D1104" i="20"/>
  <c r="G1103" i="20"/>
  <c r="H1103" i="20"/>
  <c r="D215" i="20"/>
  <c r="G214" i="20"/>
  <c r="H214" i="20"/>
  <c r="E204" i="13"/>
  <c r="F204" i="13" s="1"/>
  <c r="D205" i="13" s="1"/>
  <c r="E122" i="13"/>
  <c r="F122" i="13" s="1"/>
  <c r="D123" i="13" s="1"/>
  <c r="E304" i="20"/>
  <c r="F304" i="20" s="1"/>
  <c r="E1819" i="20"/>
  <c r="F1819" i="20" s="1"/>
  <c r="H391" i="20"/>
  <c r="H1759" i="13"/>
  <c r="I1759" i="13"/>
  <c r="H1371" i="20"/>
  <c r="H1673" i="13"/>
  <c r="I1673" i="13"/>
  <c r="E292" i="13"/>
  <c r="F292" i="13" s="1"/>
  <c r="D293" i="13" s="1"/>
  <c r="E1586" i="13"/>
  <c r="F1586" i="13" s="1"/>
  <c r="D1587" i="13" s="1"/>
  <c r="I1904" i="20"/>
  <c r="E728" i="13"/>
  <c r="F728" i="13" s="1"/>
  <c r="E382" i="13"/>
  <c r="F382" i="13" s="1"/>
  <c r="D383" i="13" s="1"/>
  <c r="E1461" i="20"/>
  <c r="F1461" i="20" s="1"/>
  <c r="D1462" i="20" s="1"/>
  <c r="H811" i="13"/>
  <c r="I811" i="13"/>
  <c r="E1372" i="20"/>
  <c r="F1372" i="20" s="1"/>
  <c r="D1373" i="20" s="1"/>
  <c r="H1585" i="13"/>
  <c r="I1585" i="13"/>
  <c r="E1415" i="13"/>
  <c r="F1415" i="13" s="1"/>
  <c r="H1931" i="13"/>
  <c r="I1931" i="13"/>
  <c r="E1761" i="13"/>
  <c r="F1761" i="13" s="1"/>
  <c r="E988" i="13"/>
  <c r="F988" i="13" s="1"/>
  <c r="H479" i="20"/>
  <c r="H726" i="13"/>
  <c r="I726" i="13"/>
  <c r="G391" i="20"/>
  <c r="H380" i="13"/>
  <c r="I380" i="13"/>
  <c r="E1993" i="20"/>
  <c r="F1993" i="20" s="1"/>
  <c r="D1994" i="20" s="1"/>
  <c r="H749" i="20"/>
  <c r="I213" i="20"/>
  <c r="H897" i="13"/>
  <c r="I897" i="13"/>
  <c r="G1760" i="13"/>
  <c r="G381" i="13"/>
  <c r="H1460" i="20"/>
  <c r="E927" i="20"/>
  <c r="F927" i="20" s="1"/>
  <c r="D928" i="20" s="1"/>
  <c r="E661" i="20"/>
  <c r="F661" i="20" s="1"/>
  <c r="D662" i="20" s="1"/>
  <c r="G1371" i="20"/>
  <c r="E1674" i="13"/>
  <c r="F1674" i="13" s="1"/>
  <c r="D1675" i="13" s="1"/>
  <c r="I1552" i="20"/>
  <c r="E1905" i="20"/>
  <c r="F1905" i="20" s="1"/>
  <c r="I124" i="20"/>
  <c r="E480" i="20"/>
  <c r="F480" i="20" s="1"/>
  <c r="E392" i="20"/>
  <c r="F392" i="20" s="1"/>
  <c r="D393" i="20" s="1"/>
  <c r="E750" i="20"/>
  <c r="F750" i="20" s="1"/>
  <c r="E1244" i="13"/>
  <c r="F1244" i="13" s="1"/>
  <c r="H291" i="13"/>
  <c r="I291" i="13"/>
  <c r="H987" i="13"/>
  <c r="E813" i="13"/>
  <c r="F813" i="13" s="1"/>
  <c r="D814" i="13" s="1"/>
  <c r="G479" i="20"/>
  <c r="G812" i="13"/>
  <c r="J986" i="13"/>
  <c r="G749" i="20"/>
  <c r="G727" i="13"/>
  <c r="G203" i="13"/>
  <c r="G1460" i="20"/>
  <c r="I1991" i="20"/>
  <c r="H121" i="13"/>
  <c r="I121" i="13"/>
  <c r="H1243" i="13"/>
  <c r="I1243" i="13"/>
  <c r="E1015" i="20"/>
  <c r="F1015" i="20" s="1"/>
  <c r="D1016" i="20" s="1"/>
  <c r="I303" i="20"/>
  <c r="E1194" i="20"/>
  <c r="F1194" i="20" s="1"/>
  <c r="D1195" i="20" s="1"/>
  <c r="I1818" i="20"/>
  <c r="E1553" i="20"/>
  <c r="F1553" i="20" s="1"/>
  <c r="H1414" i="13"/>
  <c r="I1414" i="13"/>
  <c r="E125" i="20"/>
  <c r="F125" i="20" s="1"/>
  <c r="I1932" i="13" l="1"/>
  <c r="J1932" i="13" s="1"/>
  <c r="H1500" i="13"/>
  <c r="I556" i="13"/>
  <c r="J556" i="13" s="1"/>
  <c r="I926" i="20"/>
  <c r="I660" i="20"/>
  <c r="I1280" i="20"/>
  <c r="D481" i="20"/>
  <c r="E481" i="20" s="1"/>
  <c r="F481" i="20" s="1"/>
  <c r="H480" i="20"/>
  <c r="D751" i="20"/>
  <c r="E751" i="20" s="1"/>
  <c r="H750" i="20"/>
  <c r="H1845" i="13"/>
  <c r="J1845" i="13" s="1"/>
  <c r="B152" i="2"/>
  <c r="H1015" i="20"/>
  <c r="I1992" i="20"/>
  <c r="H392" i="20"/>
  <c r="G557" i="13"/>
  <c r="I557" i="13" s="1"/>
  <c r="G1501" i="13"/>
  <c r="H1501" i="13" s="1"/>
  <c r="G1586" i="13"/>
  <c r="H1586" i="13" s="1"/>
  <c r="G1015" i="20"/>
  <c r="G750" i="20"/>
  <c r="G392" i="20"/>
  <c r="G480" i="20"/>
  <c r="G1846" i="13"/>
  <c r="H1846" i="13" s="1"/>
  <c r="D1072" i="13"/>
  <c r="G1071" i="13"/>
  <c r="D1282" i="20"/>
  <c r="E1282" i="20" s="1"/>
  <c r="F1282" i="20" s="1"/>
  <c r="G1281" i="20"/>
  <c r="H1281" i="20"/>
  <c r="D305" i="20"/>
  <c r="G304" i="20"/>
  <c r="H304" i="20"/>
  <c r="F558" i="13"/>
  <c r="D559" i="13" s="1"/>
  <c r="E1502" i="13"/>
  <c r="F1502" i="13" s="1"/>
  <c r="J1500" i="13"/>
  <c r="G1674" i="13"/>
  <c r="H1674" i="13" s="1"/>
  <c r="J1844" i="13"/>
  <c r="J1070" i="13"/>
  <c r="E1847" i="13"/>
  <c r="F1847" i="13" s="1"/>
  <c r="D1848" i="13" s="1"/>
  <c r="J1414" i="13"/>
  <c r="J121" i="13"/>
  <c r="J726" i="13"/>
  <c r="I836" i="20"/>
  <c r="J897" i="13"/>
  <c r="J380" i="13"/>
  <c r="J1931" i="13"/>
  <c r="I1371" i="20"/>
  <c r="J987" i="13"/>
  <c r="J1759" i="13"/>
  <c r="I1638" i="20"/>
  <c r="D1934" i="13"/>
  <c r="G1933" i="13"/>
  <c r="D1820" i="20"/>
  <c r="H1819" i="20"/>
  <c r="G1819" i="20"/>
  <c r="D1906" i="20"/>
  <c r="H1905" i="20"/>
  <c r="G1905" i="20"/>
  <c r="D1416" i="13"/>
  <c r="G1415" i="13"/>
  <c r="D1762" i="13"/>
  <c r="G1761" i="13"/>
  <c r="D1554" i="20"/>
  <c r="G1553" i="20"/>
  <c r="H1553" i="20"/>
  <c r="D1245" i="13"/>
  <c r="G1244" i="13"/>
  <c r="D729" i="13"/>
  <c r="G728" i="13"/>
  <c r="D126" i="20"/>
  <c r="G125" i="20"/>
  <c r="H125" i="20"/>
  <c r="D989" i="13"/>
  <c r="G988" i="13"/>
  <c r="E1195" i="20"/>
  <c r="F1195" i="20" s="1"/>
  <c r="D1196" i="20" s="1"/>
  <c r="E928" i="20"/>
  <c r="F928" i="20" s="1"/>
  <c r="H1760" i="13"/>
  <c r="I1760" i="13"/>
  <c r="E1994" i="20"/>
  <c r="F1994" i="20" s="1"/>
  <c r="D1995" i="20" s="1"/>
  <c r="E383" i="13"/>
  <c r="F383" i="13" s="1"/>
  <c r="D384" i="13" s="1"/>
  <c r="E205" i="13"/>
  <c r="F205" i="13" s="1"/>
  <c r="D206" i="13" s="1"/>
  <c r="E1104" i="20"/>
  <c r="F1104" i="20" s="1"/>
  <c r="D1105" i="20" s="1"/>
  <c r="E1016" i="20"/>
  <c r="F1016" i="20" s="1"/>
  <c r="G813" i="13"/>
  <c r="E393" i="20"/>
  <c r="F393" i="20" s="1"/>
  <c r="H1993" i="20"/>
  <c r="E1587" i="13"/>
  <c r="F1587" i="13" s="1"/>
  <c r="D1588" i="13" s="1"/>
  <c r="G292" i="13"/>
  <c r="E305" i="20"/>
  <c r="F305" i="20" s="1"/>
  <c r="E215" i="20"/>
  <c r="F215" i="20" s="1"/>
  <c r="H1157" i="13"/>
  <c r="I1157" i="13"/>
  <c r="E899" i="13"/>
  <c r="F899" i="13" s="1"/>
  <c r="D900" i="13" s="1"/>
  <c r="H1328" i="13"/>
  <c r="I1328" i="13"/>
  <c r="E1639" i="20"/>
  <c r="F1639" i="20" s="1"/>
  <c r="D1640" i="20" s="1"/>
  <c r="E662" i="20"/>
  <c r="F662" i="20" s="1"/>
  <c r="D663" i="20" s="1"/>
  <c r="I749" i="20"/>
  <c r="E1373" i="20"/>
  <c r="F1373" i="20" s="1"/>
  <c r="E1462" i="20"/>
  <c r="F1462" i="20" s="1"/>
  <c r="E293" i="13"/>
  <c r="F293" i="13" s="1"/>
  <c r="E123" i="13"/>
  <c r="F123" i="13" s="1"/>
  <c r="D124" i="13" s="1"/>
  <c r="E467" i="13"/>
  <c r="F467" i="13" s="1"/>
  <c r="D468" i="13" s="1"/>
  <c r="H898" i="13"/>
  <c r="I898" i="13"/>
  <c r="E1728" i="20"/>
  <c r="F1728" i="20" s="1"/>
  <c r="D1729" i="20" s="1"/>
  <c r="H1194" i="20"/>
  <c r="H203" i="13"/>
  <c r="I203" i="13"/>
  <c r="H812" i="13"/>
  <c r="I812" i="13"/>
  <c r="J291" i="13"/>
  <c r="H661" i="20"/>
  <c r="H927" i="20"/>
  <c r="I1460" i="20"/>
  <c r="G1993" i="20"/>
  <c r="I479" i="20"/>
  <c r="J1585" i="13"/>
  <c r="H1372" i="20"/>
  <c r="J811" i="13"/>
  <c r="H1461" i="20"/>
  <c r="G382" i="13"/>
  <c r="J1673" i="13"/>
  <c r="I391" i="20"/>
  <c r="G204" i="13"/>
  <c r="I1103" i="20"/>
  <c r="E1158" i="13"/>
  <c r="F1158" i="13" s="1"/>
  <c r="I1727" i="20"/>
  <c r="E1329" i="13"/>
  <c r="F1329" i="13" s="1"/>
  <c r="D1330" i="13" s="1"/>
  <c r="H634" i="13"/>
  <c r="I634" i="13"/>
  <c r="G1194" i="20"/>
  <c r="J1243" i="13"/>
  <c r="H727" i="13"/>
  <c r="I727" i="13"/>
  <c r="E814" i="13"/>
  <c r="F814" i="13" s="1"/>
  <c r="D815" i="13" s="1"/>
  <c r="E1675" i="13"/>
  <c r="F1675" i="13" s="1"/>
  <c r="D1676" i="13" s="1"/>
  <c r="G661" i="20"/>
  <c r="G927" i="20"/>
  <c r="H381" i="13"/>
  <c r="I381" i="13"/>
  <c r="G1372" i="20"/>
  <c r="G1461" i="20"/>
  <c r="G122" i="13"/>
  <c r="I214" i="20"/>
  <c r="H466" i="13"/>
  <c r="I466" i="13"/>
  <c r="E837" i="20"/>
  <c r="F837" i="20" s="1"/>
  <c r="E635" i="13"/>
  <c r="F635" i="13" s="1"/>
  <c r="H557" i="13" l="1"/>
  <c r="J557" i="13" s="1"/>
  <c r="G558" i="13"/>
  <c r="I558" i="13" s="1"/>
  <c r="I1846" i="13"/>
  <c r="J1846" i="13" s="1"/>
  <c r="I1586" i="13"/>
  <c r="J1586" i="13" s="1"/>
  <c r="F751" i="20"/>
  <c r="D752" i="20" s="1"/>
  <c r="G1847" i="13"/>
  <c r="I1847" i="13" s="1"/>
  <c r="I1501" i="13"/>
  <c r="J1501" i="13" s="1"/>
  <c r="I750" i="20"/>
  <c r="I392" i="20"/>
  <c r="I304" i="20"/>
  <c r="I1015" i="20"/>
  <c r="I1281" i="20"/>
  <c r="I480" i="20"/>
  <c r="G205" i="13"/>
  <c r="H205" i="13" s="1"/>
  <c r="E160" i="2"/>
  <c r="B153" i="2"/>
  <c r="B154" i="2" s="1"/>
  <c r="B155" i="2" s="1"/>
  <c r="B156" i="2" s="1"/>
  <c r="B157" i="2" s="1"/>
  <c r="B158" i="2" s="1"/>
  <c r="D838" i="20"/>
  <c r="G837" i="20"/>
  <c r="H837" i="20"/>
  <c r="D929" i="20"/>
  <c r="E929" i="20" s="1"/>
  <c r="F929" i="20" s="1"/>
  <c r="H928" i="20"/>
  <c r="G928" i="20"/>
  <c r="D1503" i="13"/>
  <c r="G1502" i="13"/>
  <c r="G123" i="13"/>
  <c r="H123" i="13" s="1"/>
  <c r="I1674" i="13"/>
  <c r="J1674" i="13" s="1"/>
  <c r="H558" i="13"/>
  <c r="F559" i="13"/>
  <c r="D560" i="13" s="1"/>
  <c r="H1071" i="13"/>
  <c r="I1071" i="13"/>
  <c r="E1848" i="13"/>
  <c r="F1848" i="13" s="1"/>
  <c r="E1072" i="13"/>
  <c r="F1072" i="13" s="1"/>
  <c r="J812" i="13"/>
  <c r="J727" i="13"/>
  <c r="J634" i="13"/>
  <c r="J1760" i="13"/>
  <c r="I125" i="20"/>
  <c r="I1819" i="20"/>
  <c r="D482" i="20"/>
  <c r="G481" i="20"/>
  <c r="H481" i="20"/>
  <c r="D294" i="13"/>
  <c r="G293" i="13"/>
  <c r="D1159" i="13"/>
  <c r="G1158" i="13"/>
  <c r="D636" i="13"/>
  <c r="G635" i="13"/>
  <c r="D1374" i="20"/>
  <c r="G1373" i="20"/>
  <c r="H1373" i="20"/>
  <c r="D216" i="20"/>
  <c r="G215" i="20"/>
  <c r="H215" i="20"/>
  <c r="D394" i="20"/>
  <c r="G393" i="20"/>
  <c r="H393" i="20"/>
  <c r="D1463" i="20"/>
  <c r="G1462" i="20"/>
  <c r="H1462" i="20"/>
  <c r="D306" i="20"/>
  <c r="G305" i="20"/>
  <c r="H305" i="20"/>
  <c r="D1283" i="20"/>
  <c r="G1282" i="20"/>
  <c r="H1282" i="20"/>
  <c r="D1017" i="20"/>
  <c r="G1016" i="20"/>
  <c r="H1016" i="20"/>
  <c r="E1330" i="13"/>
  <c r="F1330" i="13" s="1"/>
  <c r="D1331" i="13" s="1"/>
  <c r="I1372" i="20"/>
  <c r="I123" i="13"/>
  <c r="E1640" i="20"/>
  <c r="F1640" i="20" s="1"/>
  <c r="E752" i="20"/>
  <c r="F752" i="20" s="1"/>
  <c r="E1995" i="20"/>
  <c r="F1995" i="20" s="1"/>
  <c r="D1996" i="20" s="1"/>
  <c r="H382" i="13"/>
  <c r="I382" i="13"/>
  <c r="I927" i="20"/>
  <c r="I1194" i="20"/>
  <c r="G899" i="13"/>
  <c r="H292" i="13"/>
  <c r="I292" i="13"/>
  <c r="I1993" i="20"/>
  <c r="H1104" i="20"/>
  <c r="H1244" i="13"/>
  <c r="I1244" i="13"/>
  <c r="E1554" i="20"/>
  <c r="F1554" i="20" s="1"/>
  <c r="D1555" i="20" s="1"/>
  <c r="E1762" i="13"/>
  <c r="F1762" i="13" s="1"/>
  <c r="D1763" i="13" s="1"/>
  <c r="I1905" i="20"/>
  <c r="E1820" i="20"/>
  <c r="F1820" i="20" s="1"/>
  <c r="E468" i="13"/>
  <c r="F468" i="13" s="1"/>
  <c r="E900" i="13"/>
  <c r="F900" i="13" s="1"/>
  <c r="E1588" i="13"/>
  <c r="F1588" i="13" s="1"/>
  <c r="H813" i="13"/>
  <c r="I813" i="13"/>
  <c r="E1105" i="20"/>
  <c r="F1105" i="20" s="1"/>
  <c r="D1106" i="20" s="1"/>
  <c r="E384" i="13"/>
  <c r="F384" i="13" s="1"/>
  <c r="D385" i="13" s="1"/>
  <c r="E1196" i="20"/>
  <c r="F1196" i="20" s="1"/>
  <c r="D1197" i="20" s="1"/>
  <c r="E729" i="13"/>
  <c r="F729" i="13" s="1"/>
  <c r="H1761" i="13"/>
  <c r="I1761" i="13"/>
  <c r="E838" i="20"/>
  <c r="F838" i="20" s="1"/>
  <c r="D839" i="20" s="1"/>
  <c r="H122" i="13"/>
  <c r="I122" i="13"/>
  <c r="J381" i="13"/>
  <c r="G814" i="13"/>
  <c r="G1329" i="13"/>
  <c r="H204" i="13"/>
  <c r="I204" i="13"/>
  <c r="I1461" i="20"/>
  <c r="I661" i="20"/>
  <c r="H1728" i="20"/>
  <c r="J898" i="13"/>
  <c r="G467" i="13"/>
  <c r="H662" i="20"/>
  <c r="H1639" i="20"/>
  <c r="J1328" i="13"/>
  <c r="H751" i="20"/>
  <c r="G1104" i="20"/>
  <c r="E206" i="13"/>
  <c r="F206" i="13" s="1"/>
  <c r="H1994" i="20"/>
  <c r="H1195" i="20"/>
  <c r="H988" i="13"/>
  <c r="I988" i="13"/>
  <c r="E126" i="20"/>
  <c r="F126" i="20" s="1"/>
  <c r="E1245" i="13"/>
  <c r="F1245" i="13" s="1"/>
  <c r="H1415" i="13"/>
  <c r="I1415" i="13"/>
  <c r="E1906" i="20"/>
  <c r="F1906" i="20" s="1"/>
  <c r="H1933" i="13"/>
  <c r="I1933" i="13"/>
  <c r="E1676" i="13"/>
  <c r="F1676" i="13" s="1"/>
  <c r="D1677" i="13" s="1"/>
  <c r="E1729" i="20"/>
  <c r="F1729" i="20" s="1"/>
  <c r="E663" i="20"/>
  <c r="F663" i="20" s="1"/>
  <c r="J466" i="13"/>
  <c r="G1675" i="13"/>
  <c r="E815" i="13"/>
  <c r="F815" i="13" s="1"/>
  <c r="D816" i="13" s="1"/>
  <c r="J203" i="13"/>
  <c r="G1728" i="20"/>
  <c r="E124" i="13"/>
  <c r="F124" i="13" s="1"/>
  <c r="G662" i="20"/>
  <c r="G1639" i="20"/>
  <c r="J1157" i="13"/>
  <c r="G1587" i="13"/>
  <c r="G751" i="20"/>
  <c r="G383" i="13"/>
  <c r="G1994" i="20"/>
  <c r="G1195" i="20"/>
  <c r="E989" i="13"/>
  <c r="F989" i="13" s="1"/>
  <c r="H728" i="13"/>
  <c r="I728" i="13"/>
  <c r="I1553" i="20"/>
  <c r="E1416" i="13"/>
  <c r="F1416" i="13" s="1"/>
  <c r="E1934" i="13"/>
  <c r="F1934" i="13" s="1"/>
  <c r="I205" i="13" l="1"/>
  <c r="J205" i="13" s="1"/>
  <c r="H1847" i="13"/>
  <c r="J1847" i="13" s="1"/>
  <c r="G559" i="13"/>
  <c r="I559" i="13" s="1"/>
  <c r="J1071" i="13"/>
  <c r="J558" i="13"/>
  <c r="I837" i="20"/>
  <c r="I928" i="20"/>
  <c r="B159" i="2"/>
  <c r="E159" i="2"/>
  <c r="D1417" i="13"/>
  <c r="G1416" i="13"/>
  <c r="I1416" i="13" s="1"/>
  <c r="D1849" i="13"/>
  <c r="G1848" i="13"/>
  <c r="D1073" i="13"/>
  <c r="G1072" i="13"/>
  <c r="F560" i="13"/>
  <c r="D561" i="13" s="1"/>
  <c r="E1503" i="13"/>
  <c r="F1503" i="13" s="1"/>
  <c r="D1504" i="13" s="1"/>
  <c r="H1502" i="13"/>
  <c r="I1502" i="13"/>
  <c r="G1196" i="20"/>
  <c r="J728" i="13"/>
  <c r="J988" i="13"/>
  <c r="J1244" i="13"/>
  <c r="J122" i="13"/>
  <c r="J1761" i="13"/>
  <c r="I305" i="20"/>
  <c r="I393" i="20"/>
  <c r="J1415" i="13"/>
  <c r="J123" i="13"/>
  <c r="I215" i="20"/>
  <c r="I481" i="20"/>
  <c r="I1104" i="20"/>
  <c r="I1728" i="20"/>
  <c r="I751" i="20"/>
  <c r="I662" i="20"/>
  <c r="J813" i="13"/>
  <c r="I1016" i="20"/>
  <c r="I1373" i="20"/>
  <c r="D1907" i="20"/>
  <c r="G1906" i="20"/>
  <c r="H1906" i="20"/>
  <c r="D207" i="13"/>
  <c r="G206" i="13"/>
  <c r="D469" i="13"/>
  <c r="G468" i="13"/>
  <c r="D990" i="13"/>
  <c r="G989" i="13"/>
  <c r="D1821" i="20"/>
  <c r="G1820" i="20"/>
  <c r="H1820" i="20"/>
  <c r="D664" i="20"/>
  <c r="H663" i="20"/>
  <c r="G663" i="20"/>
  <c r="D127" i="20"/>
  <c r="H126" i="20"/>
  <c r="G126" i="20"/>
  <c r="D930" i="20"/>
  <c r="H929" i="20"/>
  <c r="G929" i="20"/>
  <c r="D1589" i="13"/>
  <c r="G1588" i="13"/>
  <c r="D125" i="13"/>
  <c r="G124" i="13"/>
  <c r="D730" i="13"/>
  <c r="G729" i="13"/>
  <c r="D1641" i="20"/>
  <c r="G1640" i="20"/>
  <c r="H1640" i="20"/>
  <c r="D1246" i="13"/>
  <c r="G1245" i="13"/>
  <c r="D1935" i="13"/>
  <c r="G1934" i="13"/>
  <c r="D1730" i="20"/>
  <c r="H1729" i="20"/>
  <c r="G1729" i="20"/>
  <c r="D901" i="13"/>
  <c r="G900" i="13"/>
  <c r="D753" i="20"/>
  <c r="H752" i="20"/>
  <c r="G752" i="20"/>
  <c r="E1677" i="13"/>
  <c r="F1677" i="13" s="1"/>
  <c r="D1678" i="13" s="1"/>
  <c r="E385" i="13"/>
  <c r="F385" i="13" s="1"/>
  <c r="E1555" i="20"/>
  <c r="F1555" i="20" s="1"/>
  <c r="D1556" i="20" s="1"/>
  <c r="E1197" i="20"/>
  <c r="F1197" i="20" s="1"/>
  <c r="H1554" i="20"/>
  <c r="E1283" i="20"/>
  <c r="F1283" i="20" s="1"/>
  <c r="E1463" i="20"/>
  <c r="F1463" i="20" s="1"/>
  <c r="H1158" i="13"/>
  <c r="I1158" i="13"/>
  <c r="E816" i="13"/>
  <c r="F816" i="13" s="1"/>
  <c r="E1106" i="20"/>
  <c r="F1106" i="20" s="1"/>
  <c r="D1107" i="20" s="1"/>
  <c r="E1763" i="13"/>
  <c r="F1763" i="13" s="1"/>
  <c r="E1331" i="13"/>
  <c r="F1331" i="13" s="1"/>
  <c r="D1332" i="13" s="1"/>
  <c r="E294" i="13"/>
  <c r="F294" i="13" s="1"/>
  <c r="D295" i="13" s="1"/>
  <c r="H1675" i="13"/>
  <c r="I1675" i="13"/>
  <c r="H1329" i="13"/>
  <c r="I1329" i="13"/>
  <c r="E1417" i="13"/>
  <c r="F1417" i="13" s="1"/>
  <c r="G1676" i="13"/>
  <c r="I1195" i="20"/>
  <c r="H467" i="13"/>
  <c r="I467" i="13"/>
  <c r="H814" i="13"/>
  <c r="I814" i="13"/>
  <c r="H838" i="20"/>
  <c r="H1105" i="20"/>
  <c r="G1762" i="13"/>
  <c r="G1554" i="20"/>
  <c r="J292" i="13"/>
  <c r="H1995" i="20"/>
  <c r="E1017" i="20"/>
  <c r="F1017" i="20" s="1"/>
  <c r="E1374" i="20"/>
  <c r="F1374" i="20" s="1"/>
  <c r="E1159" i="13"/>
  <c r="F1159" i="13" s="1"/>
  <c r="E839" i="20"/>
  <c r="F839" i="20" s="1"/>
  <c r="H899" i="13"/>
  <c r="I899" i="13"/>
  <c r="E1996" i="20"/>
  <c r="F1996" i="20" s="1"/>
  <c r="E306" i="20"/>
  <c r="F306" i="20" s="1"/>
  <c r="E394" i="20"/>
  <c r="F394" i="20" s="1"/>
  <c r="E636" i="13"/>
  <c r="F636" i="13" s="1"/>
  <c r="H383" i="13"/>
  <c r="I383" i="13"/>
  <c r="H1587" i="13"/>
  <c r="I1587" i="13"/>
  <c r="G815" i="13"/>
  <c r="J1933" i="13"/>
  <c r="I1994" i="20"/>
  <c r="I1639" i="20"/>
  <c r="J204" i="13"/>
  <c r="G838" i="20"/>
  <c r="H1196" i="20"/>
  <c r="G384" i="13"/>
  <c r="G1105" i="20"/>
  <c r="J382" i="13"/>
  <c r="G1995" i="20"/>
  <c r="G1330" i="13"/>
  <c r="I1282" i="20"/>
  <c r="I1462" i="20"/>
  <c r="E216" i="20"/>
  <c r="F216" i="20" s="1"/>
  <c r="H635" i="13"/>
  <c r="I635" i="13"/>
  <c r="H293" i="13"/>
  <c r="I293" i="13"/>
  <c r="E482" i="20"/>
  <c r="F482" i="20" s="1"/>
  <c r="G560" i="13" l="1"/>
  <c r="H559" i="13"/>
  <c r="J559" i="13" s="1"/>
  <c r="J1502" i="13"/>
  <c r="H1416" i="13"/>
  <c r="J1416" i="13" s="1"/>
  <c r="B160" i="2"/>
  <c r="B161" i="2" s="1"/>
  <c r="B162" i="2" s="1"/>
  <c r="B163" i="2" s="1"/>
  <c r="B164" i="2" s="1"/>
  <c r="B165" i="2" s="1"/>
  <c r="G1331" i="13"/>
  <c r="H1331" i="13" s="1"/>
  <c r="D1464" i="20"/>
  <c r="E1464" i="20" s="1"/>
  <c r="F1464" i="20" s="1"/>
  <c r="D1465" i="20" s="1"/>
  <c r="G1463" i="20"/>
  <c r="H1848" i="13"/>
  <c r="I1848" i="13"/>
  <c r="E1849" i="13"/>
  <c r="F1849" i="13" s="1"/>
  <c r="E1504" i="13"/>
  <c r="F1504" i="13" s="1"/>
  <c r="D1505" i="13" s="1"/>
  <c r="I1196" i="20"/>
  <c r="H560" i="13"/>
  <c r="I560" i="13"/>
  <c r="I1072" i="13"/>
  <c r="H1072" i="13"/>
  <c r="G1503" i="13"/>
  <c r="F561" i="13"/>
  <c r="D562" i="13" s="1"/>
  <c r="E1073" i="13"/>
  <c r="F1073" i="13" s="1"/>
  <c r="D1074" i="13" s="1"/>
  <c r="I1820" i="20"/>
  <c r="I1906" i="20"/>
  <c r="J383" i="13"/>
  <c r="J899" i="13"/>
  <c r="J1158" i="13"/>
  <c r="J1587" i="13"/>
  <c r="I1995" i="20"/>
  <c r="I1105" i="20"/>
  <c r="J467" i="13"/>
  <c r="I752" i="20"/>
  <c r="J1329" i="13"/>
  <c r="I1729" i="20"/>
  <c r="I1554" i="20"/>
  <c r="I929" i="20"/>
  <c r="J293" i="13"/>
  <c r="J1675" i="13"/>
  <c r="I1640" i="20"/>
  <c r="D840" i="20"/>
  <c r="G839" i="20"/>
  <c r="H839" i="20"/>
  <c r="D817" i="13"/>
  <c r="G816" i="13"/>
  <c r="D637" i="13"/>
  <c r="G636" i="13"/>
  <c r="D1018" i="20"/>
  <c r="G1017" i="20"/>
  <c r="H1017" i="20"/>
  <c r="D1764" i="13"/>
  <c r="G1763" i="13"/>
  <c r="D217" i="20"/>
  <c r="G216" i="20"/>
  <c r="H216" i="20"/>
  <c r="D395" i="20"/>
  <c r="H394" i="20"/>
  <c r="G394" i="20"/>
  <c r="D1375" i="20"/>
  <c r="H1374" i="20"/>
  <c r="G1374" i="20"/>
  <c r="D1198" i="20"/>
  <c r="G1197" i="20"/>
  <c r="H1197" i="20"/>
  <c r="D1997" i="20"/>
  <c r="G1996" i="20"/>
  <c r="H1996" i="20"/>
  <c r="D1284" i="20"/>
  <c r="G1283" i="20"/>
  <c r="H1283" i="20"/>
  <c r="D483" i="20"/>
  <c r="G482" i="20"/>
  <c r="H482" i="20"/>
  <c r="D1160" i="13"/>
  <c r="G1159" i="13"/>
  <c r="D386" i="13"/>
  <c r="G385" i="13"/>
  <c r="D307" i="20"/>
  <c r="G306" i="20"/>
  <c r="H306" i="20"/>
  <c r="D1418" i="13"/>
  <c r="G1417" i="13"/>
  <c r="E1678" i="13"/>
  <c r="F1678" i="13" s="1"/>
  <c r="D1679" i="13" s="1"/>
  <c r="E1332" i="13"/>
  <c r="F1332" i="13" s="1"/>
  <c r="D1333" i="13" s="1"/>
  <c r="H900" i="13"/>
  <c r="I900" i="13"/>
  <c r="E1730" i="20"/>
  <c r="F1730" i="20" s="1"/>
  <c r="E1246" i="13"/>
  <c r="F1246" i="13" s="1"/>
  <c r="H729" i="13"/>
  <c r="I729" i="13"/>
  <c r="H1588" i="13"/>
  <c r="I1588" i="13"/>
  <c r="E930" i="20"/>
  <c r="F930" i="20" s="1"/>
  <c r="H468" i="13"/>
  <c r="I468" i="13"/>
  <c r="H1762" i="13"/>
  <c r="I1762" i="13"/>
  <c r="H1676" i="13"/>
  <c r="I1676" i="13"/>
  <c r="E753" i="20"/>
  <c r="F753" i="20" s="1"/>
  <c r="H1245" i="13"/>
  <c r="I1245" i="13"/>
  <c r="E990" i="13"/>
  <c r="F990" i="13" s="1"/>
  <c r="E295" i="13"/>
  <c r="F295" i="13" s="1"/>
  <c r="J635" i="13"/>
  <c r="H1330" i="13"/>
  <c r="I1330" i="13"/>
  <c r="I838" i="20"/>
  <c r="G294" i="13"/>
  <c r="H1106" i="20"/>
  <c r="H1555" i="20"/>
  <c r="E901" i="13"/>
  <c r="F901" i="13" s="1"/>
  <c r="D902" i="13" s="1"/>
  <c r="H1934" i="13"/>
  <c r="I1934" i="13"/>
  <c r="E730" i="13"/>
  <c r="F730" i="13" s="1"/>
  <c r="E1589" i="13"/>
  <c r="F1589" i="13" s="1"/>
  <c r="I663" i="20"/>
  <c r="E1821" i="20"/>
  <c r="F1821" i="20" s="1"/>
  <c r="E469" i="13"/>
  <c r="F469" i="13" s="1"/>
  <c r="E1107" i="20"/>
  <c r="F1107" i="20" s="1"/>
  <c r="E1556" i="20"/>
  <c r="F1556" i="20" s="1"/>
  <c r="D1557" i="20" s="1"/>
  <c r="E1641" i="20"/>
  <c r="F1641" i="20" s="1"/>
  <c r="E125" i="13"/>
  <c r="F125" i="13" s="1"/>
  <c r="E127" i="20"/>
  <c r="F127" i="20" s="1"/>
  <c r="E207" i="13"/>
  <c r="F207" i="13" s="1"/>
  <c r="H384" i="13"/>
  <c r="I384" i="13"/>
  <c r="H815" i="13"/>
  <c r="I815" i="13"/>
  <c r="J814" i="13"/>
  <c r="G1106" i="20"/>
  <c r="H1463" i="20"/>
  <c r="G1555" i="20"/>
  <c r="G1677" i="13"/>
  <c r="E1935" i="13"/>
  <c r="F1935" i="13" s="1"/>
  <c r="H124" i="13"/>
  <c r="I124" i="13"/>
  <c r="I126" i="20"/>
  <c r="E664" i="20"/>
  <c r="F664" i="20" s="1"/>
  <c r="H989" i="13"/>
  <c r="I989" i="13"/>
  <c r="H206" i="13"/>
  <c r="I206" i="13"/>
  <c r="E1907" i="20"/>
  <c r="F1907" i="20" s="1"/>
  <c r="D1908" i="20" s="1"/>
  <c r="I1463" i="20" l="1"/>
  <c r="I1331" i="13"/>
  <c r="J1331" i="13" s="1"/>
  <c r="G1073" i="13"/>
  <c r="H1073" i="13" s="1"/>
  <c r="E165" i="2"/>
  <c r="D297" i="2"/>
  <c r="B167" i="2"/>
  <c r="E167" i="2"/>
  <c r="J560" i="13"/>
  <c r="D1850" i="13"/>
  <c r="E1850" i="13" s="1"/>
  <c r="F1850" i="13" s="1"/>
  <c r="D1851" i="13" s="1"/>
  <c r="G1849" i="13"/>
  <c r="H1849" i="13" s="1"/>
  <c r="J1848" i="13"/>
  <c r="D128" i="20"/>
  <c r="E128" i="20" s="1"/>
  <c r="F128" i="20" s="1"/>
  <c r="H127" i="20"/>
  <c r="G127" i="20"/>
  <c r="D1642" i="20"/>
  <c r="E1642" i="20" s="1"/>
  <c r="F1642" i="20" s="1"/>
  <c r="D1643" i="20" s="1"/>
  <c r="G1641" i="20"/>
  <c r="F562" i="13"/>
  <c r="D563" i="13" s="1"/>
  <c r="E1505" i="13"/>
  <c r="F1505" i="13" s="1"/>
  <c r="H1503" i="13"/>
  <c r="I1503" i="13"/>
  <c r="E1074" i="13"/>
  <c r="F1074" i="13" s="1"/>
  <c r="D1075" i="13" s="1"/>
  <c r="G1556" i="20"/>
  <c r="G561" i="13"/>
  <c r="J1072" i="13"/>
  <c r="G1504" i="13"/>
  <c r="I839" i="20"/>
  <c r="J989" i="13"/>
  <c r="J384" i="13"/>
  <c r="J1934" i="13"/>
  <c r="J1762" i="13"/>
  <c r="I1996" i="20"/>
  <c r="I216" i="20"/>
  <c r="J1245" i="13"/>
  <c r="J900" i="13"/>
  <c r="I306" i="20"/>
  <c r="I1197" i="20"/>
  <c r="I1374" i="20"/>
  <c r="J1588" i="13"/>
  <c r="I1283" i="20"/>
  <c r="I1017" i="20"/>
  <c r="D731" i="13"/>
  <c r="G730" i="13"/>
  <c r="D931" i="20"/>
  <c r="G930" i="20"/>
  <c r="H930" i="20"/>
  <c r="D470" i="13"/>
  <c r="G469" i="13"/>
  <c r="D1108" i="20"/>
  <c r="H1107" i="20"/>
  <c r="G1107" i="20"/>
  <c r="D126" i="13"/>
  <c r="G125" i="13"/>
  <c r="D296" i="13"/>
  <c r="G295" i="13"/>
  <c r="D754" i="20"/>
  <c r="H753" i="20"/>
  <c r="G753" i="20"/>
  <c r="D1247" i="13"/>
  <c r="G1246" i="13"/>
  <c r="D208" i="13"/>
  <c r="G207" i="13"/>
  <c r="D1822" i="20"/>
  <c r="H1821" i="20"/>
  <c r="G1821" i="20"/>
  <c r="D665" i="20"/>
  <c r="G664" i="20"/>
  <c r="H664" i="20"/>
  <c r="D1936" i="13"/>
  <c r="G1935" i="13"/>
  <c r="D1590" i="13"/>
  <c r="G1589" i="13"/>
  <c r="D991" i="13"/>
  <c r="G990" i="13"/>
  <c r="D1731" i="20"/>
  <c r="H1730" i="20"/>
  <c r="G1730" i="20"/>
  <c r="E902" i="13"/>
  <c r="F902" i="13" s="1"/>
  <c r="H1763" i="13"/>
  <c r="I1763" i="13"/>
  <c r="I1555" i="20"/>
  <c r="E1679" i="13"/>
  <c r="F1679" i="13" s="1"/>
  <c r="E1418" i="13"/>
  <c r="F1418" i="13" s="1"/>
  <c r="H1159" i="13"/>
  <c r="I1159" i="13"/>
  <c r="E483" i="20"/>
  <c r="F483" i="20" s="1"/>
  <c r="E1375" i="20"/>
  <c r="F1375" i="20" s="1"/>
  <c r="D1376" i="20" s="1"/>
  <c r="E1764" i="13"/>
  <c r="F1764" i="13" s="1"/>
  <c r="D1765" i="13" s="1"/>
  <c r="H636" i="13"/>
  <c r="I636" i="13"/>
  <c r="H1677" i="13"/>
  <c r="I1677" i="13"/>
  <c r="E1333" i="13"/>
  <c r="F1333" i="13" s="1"/>
  <c r="E386" i="13"/>
  <c r="F386" i="13" s="1"/>
  <c r="E1284" i="20"/>
  <c r="F1284" i="20" s="1"/>
  <c r="D1285" i="20" s="1"/>
  <c r="E817" i="13"/>
  <c r="F817" i="13" s="1"/>
  <c r="E1557" i="20"/>
  <c r="F1557" i="20" s="1"/>
  <c r="H1907" i="20"/>
  <c r="J206" i="13"/>
  <c r="I1106" i="20"/>
  <c r="H1464" i="20"/>
  <c r="E307" i="20"/>
  <c r="F307" i="20" s="1"/>
  <c r="E1160" i="13"/>
  <c r="F1160" i="13" s="1"/>
  <c r="E1198" i="20"/>
  <c r="F1198" i="20" s="1"/>
  <c r="E637" i="13"/>
  <c r="F637" i="13" s="1"/>
  <c r="E1908" i="20"/>
  <c r="F1908" i="20" s="1"/>
  <c r="D1909" i="20" s="1"/>
  <c r="E1465" i="20"/>
  <c r="F1465" i="20" s="1"/>
  <c r="H1417" i="13"/>
  <c r="I1417" i="13"/>
  <c r="E395" i="20"/>
  <c r="F395" i="20" s="1"/>
  <c r="D396" i="20" s="1"/>
  <c r="E1018" i="20"/>
  <c r="F1018" i="20" s="1"/>
  <c r="G1907" i="20"/>
  <c r="J124" i="13"/>
  <c r="J815" i="13"/>
  <c r="H1641" i="20"/>
  <c r="H1556" i="20"/>
  <c r="G901" i="13"/>
  <c r="H294" i="13"/>
  <c r="I294" i="13"/>
  <c r="J1330" i="13"/>
  <c r="J1676" i="13"/>
  <c r="J468" i="13"/>
  <c r="J729" i="13"/>
  <c r="G1464" i="20"/>
  <c r="G1332" i="13"/>
  <c r="G1678" i="13"/>
  <c r="H385" i="13"/>
  <c r="I385" i="13"/>
  <c r="I482" i="20"/>
  <c r="E1997" i="20"/>
  <c r="F1997" i="20" s="1"/>
  <c r="D1998" i="20" s="1"/>
  <c r="I394" i="20"/>
  <c r="E217" i="20"/>
  <c r="F217" i="20" s="1"/>
  <c r="H816" i="13"/>
  <c r="I816" i="13"/>
  <c r="E840" i="20"/>
  <c r="F840" i="20" s="1"/>
  <c r="D841" i="20" s="1"/>
  <c r="I1641" i="20" l="1"/>
  <c r="I1849" i="13"/>
  <c r="I1073" i="13"/>
  <c r="J1073" i="13" s="1"/>
  <c r="I1556" i="20"/>
  <c r="I127" i="20"/>
  <c r="J1503" i="13"/>
  <c r="B168" i="2"/>
  <c r="E169" i="2"/>
  <c r="D387" i="13"/>
  <c r="E387" i="13" s="1"/>
  <c r="F387" i="13" s="1"/>
  <c r="D388" i="13" s="1"/>
  <c r="G386" i="13"/>
  <c r="I386" i="13" s="1"/>
  <c r="D1506" i="13"/>
  <c r="G1505" i="13"/>
  <c r="D484" i="20"/>
  <c r="E484" i="20" s="1"/>
  <c r="F484" i="20" s="1"/>
  <c r="G483" i="20"/>
  <c r="D1161" i="13"/>
  <c r="E1161" i="13" s="1"/>
  <c r="F1161" i="13" s="1"/>
  <c r="D1162" i="13" s="1"/>
  <c r="G1160" i="13"/>
  <c r="I1160" i="13" s="1"/>
  <c r="H561" i="13"/>
  <c r="I561" i="13"/>
  <c r="E1851" i="13"/>
  <c r="F1851" i="13" s="1"/>
  <c r="D1852" i="13" s="1"/>
  <c r="G1375" i="20"/>
  <c r="E1075" i="13"/>
  <c r="F1075" i="13" s="1"/>
  <c r="D1076" i="13" s="1"/>
  <c r="J1849" i="13"/>
  <c r="F563" i="13"/>
  <c r="D564" i="13" s="1"/>
  <c r="H1504" i="13"/>
  <c r="I1504" i="13"/>
  <c r="G1850" i="13"/>
  <c r="G562" i="13"/>
  <c r="G840" i="20"/>
  <c r="G1074" i="13"/>
  <c r="J1417" i="13"/>
  <c r="J636" i="13"/>
  <c r="I664" i="20"/>
  <c r="J294" i="13"/>
  <c r="J1677" i="13"/>
  <c r="I1464" i="20"/>
  <c r="I1907" i="20"/>
  <c r="J1763" i="13"/>
  <c r="I753" i="20"/>
  <c r="D218" i="20"/>
  <c r="H217" i="20"/>
  <c r="G217" i="20"/>
  <c r="D1199" i="20"/>
  <c r="G1198" i="20"/>
  <c r="H1198" i="20"/>
  <c r="D638" i="13"/>
  <c r="G637" i="13"/>
  <c r="D1558" i="20"/>
  <c r="H1557" i="20"/>
  <c r="G1557" i="20"/>
  <c r="D1019" i="20"/>
  <c r="G1018" i="20"/>
  <c r="H1018" i="20"/>
  <c r="D129" i="20"/>
  <c r="H128" i="20"/>
  <c r="G128" i="20"/>
  <c r="D1334" i="13"/>
  <c r="G1333" i="13"/>
  <c r="D1680" i="13"/>
  <c r="G1679" i="13"/>
  <c r="D903" i="13"/>
  <c r="G902" i="13"/>
  <c r="D818" i="13"/>
  <c r="G817" i="13"/>
  <c r="D308" i="20"/>
  <c r="H307" i="20"/>
  <c r="G307" i="20"/>
  <c r="D1419" i="13"/>
  <c r="G1418" i="13"/>
  <c r="D1466" i="20"/>
  <c r="H1465" i="20"/>
  <c r="G1465" i="20"/>
  <c r="E1998" i="20"/>
  <c r="F1998" i="20" s="1"/>
  <c r="E1765" i="13"/>
  <c r="F1765" i="13" s="1"/>
  <c r="H125" i="13"/>
  <c r="I125" i="13"/>
  <c r="G1764" i="13"/>
  <c r="E1376" i="20"/>
  <c r="F1376" i="20" s="1"/>
  <c r="I1730" i="20"/>
  <c r="H1589" i="13"/>
  <c r="I1589" i="13"/>
  <c r="I1821" i="20"/>
  <c r="H1246" i="13"/>
  <c r="I1246" i="13"/>
  <c r="E754" i="20"/>
  <c r="F754" i="20" s="1"/>
  <c r="E126" i="13"/>
  <c r="F126" i="13" s="1"/>
  <c r="H469" i="13"/>
  <c r="I469" i="13"/>
  <c r="E931" i="20"/>
  <c r="F931" i="20" s="1"/>
  <c r="D932" i="20" s="1"/>
  <c r="H1678" i="13"/>
  <c r="I1678" i="13"/>
  <c r="E1643" i="20"/>
  <c r="F1643" i="20" s="1"/>
  <c r="D1644" i="20" s="1"/>
  <c r="E1909" i="20"/>
  <c r="F1909" i="20" s="1"/>
  <c r="D1910" i="20" s="1"/>
  <c r="E991" i="13"/>
  <c r="F991" i="13" s="1"/>
  <c r="E1936" i="13"/>
  <c r="F1936" i="13" s="1"/>
  <c r="D1937" i="13" s="1"/>
  <c r="E1108" i="20"/>
  <c r="F1108" i="20" s="1"/>
  <c r="E841" i="20"/>
  <c r="F841" i="20" s="1"/>
  <c r="H1332" i="13"/>
  <c r="I1332" i="13"/>
  <c r="H1908" i="20"/>
  <c r="H1997" i="20"/>
  <c r="G1642" i="20"/>
  <c r="G395" i="20"/>
  <c r="G1908" i="20"/>
  <c r="H1284" i="20"/>
  <c r="E1731" i="20"/>
  <c r="F1731" i="20" s="1"/>
  <c r="E1590" i="13"/>
  <c r="F1590" i="13" s="1"/>
  <c r="D1591" i="13" s="1"/>
  <c r="E1822" i="20"/>
  <c r="F1822" i="20" s="1"/>
  <c r="E1247" i="13"/>
  <c r="F1247" i="13" s="1"/>
  <c r="D1248" i="13" s="1"/>
  <c r="H295" i="13"/>
  <c r="I295" i="13"/>
  <c r="E470" i="13"/>
  <c r="F470" i="13" s="1"/>
  <c r="D471" i="13" s="1"/>
  <c r="H730" i="13"/>
  <c r="I730" i="13"/>
  <c r="E396" i="20"/>
  <c r="F396" i="20" s="1"/>
  <c r="E1285" i="20"/>
  <c r="F1285" i="20" s="1"/>
  <c r="E208" i="13"/>
  <c r="F208" i="13" s="1"/>
  <c r="D209" i="13" s="1"/>
  <c r="H1642" i="20"/>
  <c r="H395" i="20"/>
  <c r="H840" i="20"/>
  <c r="J816" i="13"/>
  <c r="G1997" i="20"/>
  <c r="J385" i="13"/>
  <c r="H901" i="13"/>
  <c r="I901" i="13"/>
  <c r="G1284" i="20"/>
  <c r="H1375" i="20"/>
  <c r="H483" i="20"/>
  <c r="J1159" i="13"/>
  <c r="H990" i="13"/>
  <c r="I990" i="13"/>
  <c r="H1935" i="13"/>
  <c r="I1935" i="13"/>
  <c r="E665" i="20"/>
  <c r="F665" i="20" s="1"/>
  <c r="H207" i="13"/>
  <c r="I207" i="13"/>
  <c r="E296" i="13"/>
  <c r="F296" i="13" s="1"/>
  <c r="I1107" i="20"/>
  <c r="I930" i="20"/>
  <c r="E731" i="13"/>
  <c r="F731" i="13" s="1"/>
  <c r="D732" i="13" s="1"/>
  <c r="H1160" i="13" l="1"/>
  <c r="I1375" i="20"/>
  <c r="H386" i="13"/>
  <c r="J386" i="13" s="1"/>
  <c r="I483" i="20"/>
  <c r="I840" i="20"/>
  <c r="E30" i="2"/>
  <c r="D310" i="2"/>
  <c r="C48" i="20"/>
  <c r="D312" i="2"/>
  <c r="C48" i="13"/>
  <c r="B169" i="2"/>
  <c r="D307" i="2"/>
  <c r="J561" i="13"/>
  <c r="D1766" i="13"/>
  <c r="E1766" i="13" s="1"/>
  <c r="F1766" i="13" s="1"/>
  <c r="G1765" i="13"/>
  <c r="H1765" i="13" s="1"/>
  <c r="G1851" i="13"/>
  <c r="I1851" i="13" s="1"/>
  <c r="G1075" i="13"/>
  <c r="I1075" i="13" s="1"/>
  <c r="D397" i="20"/>
  <c r="G396" i="20"/>
  <c r="D666" i="20"/>
  <c r="E666" i="20" s="1"/>
  <c r="F666" i="20" s="1"/>
  <c r="G665" i="20"/>
  <c r="H665" i="20"/>
  <c r="D1109" i="20"/>
  <c r="E1109" i="20" s="1"/>
  <c r="F1109" i="20" s="1"/>
  <c r="G1108" i="20"/>
  <c r="H1505" i="13"/>
  <c r="I1505" i="13"/>
  <c r="G1161" i="13"/>
  <c r="I1161" i="13" s="1"/>
  <c r="H562" i="13"/>
  <c r="I562" i="13"/>
  <c r="F564" i="13"/>
  <c r="D565" i="13" s="1"/>
  <c r="E1852" i="13"/>
  <c r="F1852" i="13" s="1"/>
  <c r="E1506" i="13"/>
  <c r="F1506" i="13" s="1"/>
  <c r="H1850" i="13"/>
  <c r="I1850" i="13"/>
  <c r="G563" i="13"/>
  <c r="E1076" i="13"/>
  <c r="F1076" i="13" s="1"/>
  <c r="D1077" i="13" s="1"/>
  <c r="G470" i="13"/>
  <c r="H470" i="13" s="1"/>
  <c r="I1074" i="13"/>
  <c r="H1074" i="13"/>
  <c r="J1504" i="13"/>
  <c r="J1160" i="13"/>
  <c r="J125" i="13"/>
  <c r="I1908" i="20"/>
  <c r="J1332" i="13"/>
  <c r="I1018" i="20"/>
  <c r="I1198" i="20"/>
  <c r="J207" i="13"/>
  <c r="J990" i="13"/>
  <c r="J1935" i="13"/>
  <c r="J901" i="13"/>
  <c r="I1642" i="20"/>
  <c r="J295" i="13"/>
  <c r="J1678" i="13"/>
  <c r="J469" i="13"/>
  <c r="I1465" i="20"/>
  <c r="I128" i="20"/>
  <c r="I1284" i="20"/>
  <c r="I395" i="20"/>
  <c r="J730" i="13"/>
  <c r="J1589" i="13"/>
  <c r="D1286" i="20"/>
  <c r="G1285" i="20"/>
  <c r="H1285" i="20"/>
  <c r="D842" i="20"/>
  <c r="H841" i="20"/>
  <c r="G841" i="20"/>
  <c r="D1999" i="20"/>
  <c r="G1998" i="20"/>
  <c r="H1998" i="20"/>
  <c r="D992" i="13"/>
  <c r="G991" i="13"/>
  <c r="D127" i="13"/>
  <c r="G126" i="13"/>
  <c r="D485" i="20"/>
  <c r="G484" i="20"/>
  <c r="H484" i="20"/>
  <c r="D1823" i="20"/>
  <c r="H1822" i="20"/>
  <c r="G1822" i="20"/>
  <c r="D297" i="13"/>
  <c r="G296" i="13"/>
  <c r="D1732" i="20"/>
  <c r="G1731" i="20"/>
  <c r="H1731" i="20"/>
  <c r="D755" i="20"/>
  <c r="H754" i="20"/>
  <c r="G754" i="20"/>
  <c r="D1377" i="20"/>
  <c r="G1376" i="20"/>
  <c r="H1376" i="20"/>
  <c r="E388" i="13"/>
  <c r="F388" i="13" s="1"/>
  <c r="D389" i="13" s="1"/>
  <c r="E1019" i="20"/>
  <c r="F1019" i="20" s="1"/>
  <c r="D1020" i="20" s="1"/>
  <c r="H1909" i="20"/>
  <c r="H1643" i="20"/>
  <c r="H1764" i="13"/>
  <c r="I1764" i="13"/>
  <c r="E1466" i="20"/>
  <c r="F1466" i="20" s="1"/>
  <c r="I307" i="20"/>
  <c r="H902" i="13"/>
  <c r="I902" i="13"/>
  <c r="H1333" i="13"/>
  <c r="I1333" i="13"/>
  <c r="E129" i="20"/>
  <c r="F129" i="20" s="1"/>
  <c r="E638" i="13"/>
  <c r="F638" i="13" s="1"/>
  <c r="E1248" i="13"/>
  <c r="F1248" i="13" s="1"/>
  <c r="E1591" i="13"/>
  <c r="F1591" i="13" s="1"/>
  <c r="D1592" i="13" s="1"/>
  <c r="E1910" i="20"/>
  <c r="F1910" i="20" s="1"/>
  <c r="E1199" i="20"/>
  <c r="F1199" i="20" s="1"/>
  <c r="D1200" i="20" s="1"/>
  <c r="G1247" i="13"/>
  <c r="G1909" i="20"/>
  <c r="G1643" i="20"/>
  <c r="H931" i="20"/>
  <c r="H1418" i="13"/>
  <c r="I1418" i="13"/>
  <c r="E308" i="20"/>
  <c r="F308" i="20" s="1"/>
  <c r="E903" i="13"/>
  <c r="F903" i="13" s="1"/>
  <c r="E1334" i="13"/>
  <c r="F1334" i="13" s="1"/>
  <c r="D1335" i="13" s="1"/>
  <c r="I1557" i="20"/>
  <c r="I217" i="20"/>
  <c r="E732" i="13"/>
  <c r="F732" i="13" s="1"/>
  <c r="E209" i="13"/>
  <c r="F209" i="13" s="1"/>
  <c r="E1937" i="13"/>
  <c r="F1937" i="13" s="1"/>
  <c r="E1644" i="20"/>
  <c r="F1644" i="20" s="1"/>
  <c r="E932" i="20"/>
  <c r="F932" i="20" s="1"/>
  <c r="D933" i="20" s="1"/>
  <c r="E818" i="13"/>
  <c r="F818" i="13" s="1"/>
  <c r="E1680" i="13"/>
  <c r="F1680" i="13" s="1"/>
  <c r="H637" i="13"/>
  <c r="I637" i="13"/>
  <c r="E1162" i="13"/>
  <c r="F1162" i="13" s="1"/>
  <c r="D1163" i="13" s="1"/>
  <c r="G208" i="13"/>
  <c r="E397" i="20"/>
  <c r="E471" i="13"/>
  <c r="F471" i="13" s="1"/>
  <c r="G731" i="13"/>
  <c r="H396" i="20"/>
  <c r="G1590" i="13"/>
  <c r="G387" i="13"/>
  <c r="I1997" i="20"/>
  <c r="H1108" i="20"/>
  <c r="G1936" i="13"/>
  <c r="G931" i="20"/>
  <c r="J1246" i="13"/>
  <c r="E1419" i="13"/>
  <c r="F1419" i="13" s="1"/>
  <c r="D1420" i="13" s="1"/>
  <c r="H817" i="13"/>
  <c r="I817" i="13"/>
  <c r="H1679" i="13"/>
  <c r="I1679" i="13"/>
  <c r="E1558" i="20"/>
  <c r="F1558" i="20" s="1"/>
  <c r="E218" i="20"/>
  <c r="F218" i="20" s="1"/>
  <c r="H1075" i="13" l="1"/>
  <c r="J1075" i="13" s="1"/>
  <c r="I470" i="13"/>
  <c r="J470" i="13" s="1"/>
  <c r="H1161" i="13"/>
  <c r="J1161" i="13" s="1"/>
  <c r="I1765" i="13"/>
  <c r="J1765" i="13" s="1"/>
  <c r="F397" i="20"/>
  <c r="D398" i="20" s="1"/>
  <c r="I396" i="20"/>
  <c r="I1108" i="20"/>
  <c r="I665" i="20"/>
  <c r="J562" i="13"/>
  <c r="H1851" i="13"/>
  <c r="J1851" i="13" s="1"/>
  <c r="B171" i="2"/>
  <c r="B172" i="2" s="1"/>
  <c r="J1505" i="13"/>
  <c r="D1507" i="13"/>
  <c r="G1506" i="13"/>
  <c r="D1853" i="13"/>
  <c r="G1852" i="13"/>
  <c r="D819" i="13"/>
  <c r="E819" i="13" s="1"/>
  <c r="F819" i="13" s="1"/>
  <c r="D820" i="13" s="1"/>
  <c r="G818" i="13"/>
  <c r="H818" i="13" s="1"/>
  <c r="D219" i="20"/>
  <c r="E219" i="20" s="1"/>
  <c r="F219" i="20" s="1"/>
  <c r="G218" i="20"/>
  <c r="E1077" i="13"/>
  <c r="F1077" i="13" s="1"/>
  <c r="F565" i="13"/>
  <c r="D566" i="13" s="1"/>
  <c r="J1074" i="13"/>
  <c r="G564" i="13"/>
  <c r="H563" i="13"/>
  <c r="I563" i="13"/>
  <c r="G1076" i="13"/>
  <c r="J1850" i="13"/>
  <c r="J1418" i="13"/>
  <c r="J1764" i="13"/>
  <c r="I1376" i="20"/>
  <c r="I1731" i="20"/>
  <c r="I484" i="20"/>
  <c r="I754" i="20"/>
  <c r="J817" i="13"/>
  <c r="J902" i="13"/>
  <c r="I1285" i="20"/>
  <c r="I1909" i="20"/>
  <c r="D210" i="13"/>
  <c r="G209" i="13"/>
  <c r="D1110" i="20"/>
  <c r="G1109" i="20"/>
  <c r="H1109" i="20"/>
  <c r="D639" i="13"/>
  <c r="G638" i="13"/>
  <c r="D1681" i="13"/>
  <c r="G1680" i="13"/>
  <c r="D1645" i="20"/>
  <c r="H1644" i="20"/>
  <c r="G1644" i="20"/>
  <c r="D1467" i="20"/>
  <c r="H1466" i="20"/>
  <c r="G1466" i="20"/>
  <c r="D1938" i="13"/>
  <c r="G1937" i="13"/>
  <c r="D1911" i="20"/>
  <c r="G1910" i="20"/>
  <c r="H1910" i="20"/>
  <c r="D904" i="13"/>
  <c r="G903" i="13"/>
  <c r="D667" i="20"/>
  <c r="G666" i="20"/>
  <c r="H666" i="20"/>
  <c r="D130" i="20"/>
  <c r="H129" i="20"/>
  <c r="G129" i="20"/>
  <c r="D1249" i="13"/>
  <c r="G1248" i="13"/>
  <c r="D733" i="13"/>
  <c r="G732" i="13"/>
  <c r="D1559" i="20"/>
  <c r="H1558" i="20"/>
  <c r="G1558" i="20"/>
  <c r="D472" i="13"/>
  <c r="G471" i="13"/>
  <c r="D309" i="20"/>
  <c r="G308" i="20"/>
  <c r="H308" i="20"/>
  <c r="D1767" i="13"/>
  <c r="G1766" i="13"/>
  <c r="E933" i="20"/>
  <c r="F933" i="20" s="1"/>
  <c r="E1335" i="13"/>
  <c r="F1335" i="13" s="1"/>
  <c r="E1592" i="13"/>
  <c r="F1592" i="13" s="1"/>
  <c r="D1593" i="13" s="1"/>
  <c r="E127" i="13"/>
  <c r="F127" i="13" s="1"/>
  <c r="I931" i="20"/>
  <c r="H1019" i="20"/>
  <c r="E389" i="13"/>
  <c r="F389" i="13" s="1"/>
  <c r="D390" i="13" s="1"/>
  <c r="E755" i="20"/>
  <c r="F755" i="20" s="1"/>
  <c r="H991" i="13"/>
  <c r="I991" i="13"/>
  <c r="E1999" i="20"/>
  <c r="F1999" i="20" s="1"/>
  <c r="D2000" i="20" s="1"/>
  <c r="E1420" i="13"/>
  <c r="F1420" i="13" s="1"/>
  <c r="E1163" i="13"/>
  <c r="F1163" i="13" s="1"/>
  <c r="E297" i="13"/>
  <c r="F297" i="13" s="1"/>
  <c r="H1590" i="13"/>
  <c r="I1590" i="13"/>
  <c r="E398" i="20"/>
  <c r="F398" i="20" s="1"/>
  <c r="D399" i="20" s="1"/>
  <c r="H932" i="20"/>
  <c r="G1162" i="13"/>
  <c r="G932" i="20"/>
  <c r="H1247" i="13"/>
  <c r="I1247" i="13"/>
  <c r="H1199" i="20"/>
  <c r="G1019" i="20"/>
  <c r="E1377" i="20"/>
  <c r="F1377" i="20" s="1"/>
  <c r="E1732" i="20"/>
  <c r="F1732" i="20" s="1"/>
  <c r="D1733" i="20" s="1"/>
  <c r="I1822" i="20"/>
  <c r="E485" i="20"/>
  <c r="F485" i="20" s="1"/>
  <c r="E992" i="13"/>
  <c r="F992" i="13" s="1"/>
  <c r="H387" i="13"/>
  <c r="I387" i="13"/>
  <c r="E1200" i="20"/>
  <c r="F1200" i="20" s="1"/>
  <c r="E1020" i="20"/>
  <c r="F1020" i="20" s="1"/>
  <c r="E842" i="20"/>
  <c r="F842" i="20" s="1"/>
  <c r="H1936" i="13"/>
  <c r="I1936" i="13"/>
  <c r="H218" i="20"/>
  <c r="J1679" i="13"/>
  <c r="G1419" i="13"/>
  <c r="H731" i="13"/>
  <c r="I731" i="13"/>
  <c r="H397" i="20"/>
  <c r="H208" i="13"/>
  <c r="I208" i="13"/>
  <c r="J637" i="13"/>
  <c r="G1334" i="13"/>
  <c r="G1199" i="20"/>
  <c r="G1591" i="13"/>
  <c r="J1333" i="13"/>
  <c r="I1643" i="20"/>
  <c r="G388" i="13"/>
  <c r="H296" i="13"/>
  <c r="I296" i="13"/>
  <c r="E1823" i="20"/>
  <c r="F1823" i="20" s="1"/>
  <c r="D1824" i="20" s="1"/>
  <c r="H126" i="13"/>
  <c r="I126" i="13"/>
  <c r="I1998" i="20"/>
  <c r="I841" i="20"/>
  <c r="E1286" i="20"/>
  <c r="F1286" i="20" s="1"/>
  <c r="D1287" i="20" s="1"/>
  <c r="I818" i="13" l="1"/>
  <c r="J818" i="13" s="1"/>
  <c r="G397" i="20"/>
  <c r="I397" i="20" s="1"/>
  <c r="I218" i="20"/>
  <c r="B173" i="2"/>
  <c r="B174" i="2" s="1"/>
  <c r="D756" i="20"/>
  <c r="G755" i="20"/>
  <c r="D1078" i="13"/>
  <c r="G1077" i="13"/>
  <c r="F566" i="13"/>
  <c r="D567" i="13" s="1"/>
  <c r="I1852" i="13"/>
  <c r="H1852" i="13"/>
  <c r="H564" i="13"/>
  <c r="I564" i="13"/>
  <c r="E1853" i="13"/>
  <c r="F1853" i="13" s="1"/>
  <c r="G819" i="13"/>
  <c r="H819" i="13" s="1"/>
  <c r="H1076" i="13"/>
  <c r="I1076" i="13"/>
  <c r="H1506" i="13"/>
  <c r="I1506" i="13"/>
  <c r="J563" i="13"/>
  <c r="G565" i="13"/>
  <c r="E1507" i="13"/>
  <c r="F1507" i="13" s="1"/>
  <c r="J1590" i="13"/>
  <c r="J991" i="13"/>
  <c r="J387" i="13"/>
  <c r="I1910" i="20"/>
  <c r="J126" i="13"/>
  <c r="J296" i="13"/>
  <c r="J731" i="13"/>
  <c r="I1199" i="20"/>
  <c r="I308" i="20"/>
  <c r="I1466" i="20"/>
  <c r="D1201" i="20"/>
  <c r="H1200" i="20"/>
  <c r="G1200" i="20"/>
  <c r="D1421" i="13"/>
  <c r="G1420" i="13"/>
  <c r="D128" i="13"/>
  <c r="G127" i="13"/>
  <c r="D843" i="20"/>
  <c r="G842" i="20"/>
  <c r="H842" i="20"/>
  <c r="D1378" i="20"/>
  <c r="H1377" i="20"/>
  <c r="G1377" i="20"/>
  <c r="D298" i="13"/>
  <c r="G297" i="13"/>
  <c r="D486" i="20"/>
  <c r="G485" i="20"/>
  <c r="H485" i="20"/>
  <c r="D1336" i="13"/>
  <c r="G1335" i="13"/>
  <c r="D220" i="20"/>
  <c r="G219" i="20"/>
  <c r="H219" i="20"/>
  <c r="D934" i="20"/>
  <c r="G933" i="20"/>
  <c r="H933" i="20"/>
  <c r="D1021" i="20"/>
  <c r="H1020" i="20"/>
  <c r="G1020" i="20"/>
  <c r="D993" i="13"/>
  <c r="G992" i="13"/>
  <c r="D1164" i="13"/>
  <c r="G1163" i="13"/>
  <c r="E1824" i="20"/>
  <c r="F1824" i="20" s="1"/>
  <c r="H1419" i="13"/>
  <c r="I1419" i="13"/>
  <c r="E390" i="13"/>
  <c r="F390" i="13" s="1"/>
  <c r="E1645" i="20"/>
  <c r="F1645" i="20" s="1"/>
  <c r="H1999" i="20"/>
  <c r="E756" i="20"/>
  <c r="F756" i="20" s="1"/>
  <c r="D757" i="20" s="1"/>
  <c r="G389" i="13"/>
  <c r="G1592" i="13"/>
  <c r="E733" i="13"/>
  <c r="F733" i="13" s="1"/>
  <c r="D734" i="13" s="1"/>
  <c r="I129" i="20"/>
  <c r="E667" i="20"/>
  <c r="F667" i="20" s="1"/>
  <c r="E904" i="13"/>
  <c r="F904" i="13" s="1"/>
  <c r="D905" i="13" s="1"/>
  <c r="H1937" i="13"/>
  <c r="I1937" i="13"/>
  <c r="E1467" i="20"/>
  <c r="F1467" i="20" s="1"/>
  <c r="D1468" i="20" s="1"/>
  <c r="H1680" i="13"/>
  <c r="I1680" i="13"/>
  <c r="E1110" i="20"/>
  <c r="F1110" i="20" s="1"/>
  <c r="E1287" i="20"/>
  <c r="F1287" i="20" s="1"/>
  <c r="D1288" i="20" s="1"/>
  <c r="E1733" i="20"/>
  <c r="F1733" i="20" s="1"/>
  <c r="E2000" i="20"/>
  <c r="F2000" i="20" s="1"/>
  <c r="D2001" i="20" s="1"/>
  <c r="E1593" i="13"/>
  <c r="F1593" i="13" s="1"/>
  <c r="E472" i="13"/>
  <c r="F472" i="13" s="1"/>
  <c r="E639" i="13"/>
  <c r="F639" i="13" s="1"/>
  <c r="D640" i="13" s="1"/>
  <c r="E820" i="13"/>
  <c r="F820" i="13" s="1"/>
  <c r="D821" i="13" s="1"/>
  <c r="H1286" i="20"/>
  <c r="H1823" i="20"/>
  <c r="H1591" i="13"/>
  <c r="I1591" i="13"/>
  <c r="J1936" i="13"/>
  <c r="H1732" i="20"/>
  <c r="H1162" i="13"/>
  <c r="I1162" i="13"/>
  <c r="H398" i="20"/>
  <c r="G1999" i="20"/>
  <c r="H1766" i="13"/>
  <c r="I1766" i="13"/>
  <c r="E309" i="20"/>
  <c r="F309" i="20" s="1"/>
  <c r="I1558" i="20"/>
  <c r="H1248" i="13"/>
  <c r="I1248" i="13"/>
  <c r="E130" i="20"/>
  <c r="F130" i="20" s="1"/>
  <c r="E1938" i="13"/>
  <c r="F1938" i="13" s="1"/>
  <c r="D1939" i="13" s="1"/>
  <c r="E1681" i="13"/>
  <c r="F1681" i="13" s="1"/>
  <c r="H209" i="13"/>
  <c r="I209" i="13"/>
  <c r="H1334" i="13"/>
  <c r="I1334" i="13"/>
  <c r="E399" i="20"/>
  <c r="F399" i="20" s="1"/>
  <c r="D400" i="20" s="1"/>
  <c r="H732" i="13"/>
  <c r="I732" i="13"/>
  <c r="H903" i="13"/>
  <c r="I903" i="13"/>
  <c r="E1911" i="20"/>
  <c r="F1911" i="20" s="1"/>
  <c r="D1912" i="20" s="1"/>
  <c r="I932" i="20"/>
  <c r="G1286" i="20"/>
  <c r="G1823" i="20"/>
  <c r="H388" i="13"/>
  <c r="I388" i="13"/>
  <c r="J208" i="13"/>
  <c r="G1732" i="20"/>
  <c r="J1247" i="13"/>
  <c r="G398" i="20"/>
  <c r="H755" i="20"/>
  <c r="I1019" i="20"/>
  <c r="E1767" i="13"/>
  <c r="F1767" i="13" s="1"/>
  <c r="H471" i="13"/>
  <c r="I471" i="13"/>
  <c r="E1559" i="20"/>
  <c r="F1559" i="20" s="1"/>
  <c r="D1560" i="20" s="1"/>
  <c r="E1249" i="13"/>
  <c r="F1249" i="13" s="1"/>
  <c r="I666" i="20"/>
  <c r="I1644" i="20"/>
  <c r="H638" i="13"/>
  <c r="I638" i="13"/>
  <c r="I1109" i="20"/>
  <c r="E210" i="13"/>
  <c r="F210" i="13" s="1"/>
  <c r="G566" i="13" l="1"/>
  <c r="I819" i="13"/>
  <c r="J819" i="13" s="1"/>
  <c r="J1076" i="13"/>
  <c r="J564" i="13"/>
  <c r="J1506" i="13"/>
  <c r="D1854" i="13"/>
  <c r="G1853" i="13"/>
  <c r="H1853" i="13" s="1"/>
  <c r="I755" i="20"/>
  <c r="C59" i="13"/>
  <c r="B175" i="2"/>
  <c r="B176" i="2" s="1"/>
  <c r="B177" i="2" s="1"/>
  <c r="C76" i="13"/>
  <c r="C76" i="20"/>
  <c r="C59" i="20"/>
  <c r="E34" i="2"/>
  <c r="D1111" i="20"/>
  <c r="E1111" i="20" s="1"/>
  <c r="F1111" i="20" s="1"/>
  <c r="G1110" i="20"/>
  <c r="D1734" i="20"/>
  <c r="G1733" i="20"/>
  <c r="D1825" i="20"/>
  <c r="E1825" i="20" s="1"/>
  <c r="F1825" i="20" s="1"/>
  <c r="D1826" i="20" s="1"/>
  <c r="G1824" i="20"/>
  <c r="D1508" i="13"/>
  <c r="G1507" i="13"/>
  <c r="H565" i="13"/>
  <c r="I565" i="13"/>
  <c r="I1077" i="13"/>
  <c r="H1077" i="13"/>
  <c r="G639" i="13"/>
  <c r="H639" i="13" s="1"/>
  <c r="G1287" i="20"/>
  <c r="E1854" i="13"/>
  <c r="F1854" i="13" s="1"/>
  <c r="D1855" i="13" s="1"/>
  <c r="J1852" i="13"/>
  <c r="E1078" i="13"/>
  <c r="F1078" i="13" s="1"/>
  <c r="H566" i="13"/>
  <c r="I566" i="13"/>
  <c r="G1467" i="20"/>
  <c r="F567" i="13"/>
  <c r="D568" i="13" s="1"/>
  <c r="J388" i="13"/>
  <c r="J1680" i="13"/>
  <c r="J732" i="13"/>
  <c r="J1248" i="13"/>
  <c r="J1766" i="13"/>
  <c r="J1162" i="13"/>
  <c r="J471" i="13"/>
  <c r="J903" i="13"/>
  <c r="J1334" i="13"/>
  <c r="J209" i="13"/>
  <c r="J1419" i="13"/>
  <c r="I933" i="20"/>
  <c r="I485" i="20"/>
  <c r="I842" i="20"/>
  <c r="I1020" i="20"/>
  <c r="I1377" i="20"/>
  <c r="J1591" i="13"/>
  <c r="I219" i="20"/>
  <c r="D211" i="13"/>
  <c r="G210" i="13"/>
  <c r="D668" i="20"/>
  <c r="H667" i="20"/>
  <c r="G667" i="20"/>
  <c r="D1682" i="13"/>
  <c r="G1681" i="13"/>
  <c r="D473" i="13"/>
  <c r="G472" i="13"/>
  <c r="D1768" i="13"/>
  <c r="G1767" i="13"/>
  <c r="D1646" i="20"/>
  <c r="G1645" i="20"/>
  <c r="H1645" i="20"/>
  <c r="D391" i="13"/>
  <c r="G390" i="13"/>
  <c r="D1250" i="13"/>
  <c r="G1249" i="13"/>
  <c r="D131" i="20"/>
  <c r="H130" i="20"/>
  <c r="G130" i="20"/>
  <c r="D310" i="20"/>
  <c r="G309" i="20"/>
  <c r="H309" i="20"/>
  <c r="D1594" i="13"/>
  <c r="G1593" i="13"/>
  <c r="E757" i="20"/>
  <c r="F757" i="20" s="1"/>
  <c r="E1288" i="20"/>
  <c r="F1288" i="20" s="1"/>
  <c r="E1468" i="20"/>
  <c r="F1468" i="20" s="1"/>
  <c r="D1469" i="20" s="1"/>
  <c r="E905" i="13"/>
  <c r="F905" i="13" s="1"/>
  <c r="E734" i="13"/>
  <c r="F734" i="13" s="1"/>
  <c r="D735" i="13" s="1"/>
  <c r="H389" i="13"/>
  <c r="I389" i="13"/>
  <c r="H992" i="13"/>
  <c r="I992" i="13"/>
  <c r="E1021" i="20"/>
  <c r="F1021" i="20" s="1"/>
  <c r="E1336" i="13"/>
  <c r="F1336" i="13" s="1"/>
  <c r="H297" i="13"/>
  <c r="I297" i="13"/>
  <c r="E1378" i="20"/>
  <c r="F1378" i="20" s="1"/>
  <c r="H127" i="13"/>
  <c r="I127" i="13"/>
  <c r="E400" i="20"/>
  <c r="F400" i="20" s="1"/>
  <c r="D401" i="20" s="1"/>
  <c r="E2001" i="20"/>
  <c r="F2001" i="20" s="1"/>
  <c r="H1592" i="13"/>
  <c r="I1592" i="13"/>
  <c r="E1164" i="13"/>
  <c r="F1164" i="13" s="1"/>
  <c r="H1335" i="13"/>
  <c r="I1335" i="13"/>
  <c r="E1421" i="13"/>
  <c r="F1421" i="13" s="1"/>
  <c r="H1559" i="20"/>
  <c r="E821" i="13"/>
  <c r="F821" i="13" s="1"/>
  <c r="G1559" i="20"/>
  <c r="H1911" i="20"/>
  <c r="H399" i="20"/>
  <c r="G1938" i="13"/>
  <c r="G2000" i="20"/>
  <c r="G733" i="13"/>
  <c r="H756" i="20"/>
  <c r="I1999" i="20"/>
  <c r="E993" i="13"/>
  <c r="F993" i="13" s="1"/>
  <c r="E298" i="13"/>
  <c r="F298" i="13" s="1"/>
  <c r="E128" i="13"/>
  <c r="F128" i="13" s="1"/>
  <c r="I1200" i="20"/>
  <c r="E1560" i="20"/>
  <c r="F1560" i="20" s="1"/>
  <c r="D1561" i="20" s="1"/>
  <c r="E1912" i="20"/>
  <c r="F1912" i="20" s="1"/>
  <c r="E1939" i="13"/>
  <c r="F1939" i="13" s="1"/>
  <c r="D1940" i="13" s="1"/>
  <c r="I1286" i="20"/>
  <c r="E934" i="20"/>
  <c r="F934" i="20" s="1"/>
  <c r="E486" i="20"/>
  <c r="F486" i="20" s="1"/>
  <c r="E843" i="20"/>
  <c r="F843" i="20" s="1"/>
  <c r="E640" i="13"/>
  <c r="F640" i="13" s="1"/>
  <c r="H2000" i="20"/>
  <c r="E1734" i="20"/>
  <c r="F1734" i="20" s="1"/>
  <c r="J638" i="13"/>
  <c r="G1911" i="20"/>
  <c r="G399" i="20"/>
  <c r="I398" i="20"/>
  <c r="I1732" i="20"/>
  <c r="I1823" i="20"/>
  <c r="G820" i="13"/>
  <c r="H1733" i="20"/>
  <c r="H1287" i="20"/>
  <c r="H1110" i="20"/>
  <c r="H1467" i="20"/>
  <c r="J1937" i="13"/>
  <c r="G904" i="13"/>
  <c r="G756" i="20"/>
  <c r="H1824" i="20"/>
  <c r="H1163" i="13"/>
  <c r="I1163" i="13"/>
  <c r="E220" i="20"/>
  <c r="F220" i="20" s="1"/>
  <c r="H1420" i="13"/>
  <c r="I1420" i="13"/>
  <c r="E1201" i="20"/>
  <c r="F1201" i="20" s="1"/>
  <c r="D1202" i="20" s="1"/>
  <c r="E177" i="2" l="1"/>
  <c r="I639" i="13"/>
  <c r="J639" i="13" s="1"/>
  <c r="I1853" i="13"/>
  <c r="J1853" i="13" s="1"/>
  <c r="I1733" i="20"/>
  <c r="I1110" i="20"/>
  <c r="I1287" i="20"/>
  <c r="I1824" i="20"/>
  <c r="I1467" i="20"/>
  <c r="B179" i="2"/>
  <c r="B180" i="2" s="1"/>
  <c r="B181" i="2" s="1"/>
  <c r="J566" i="13"/>
  <c r="G1854" i="13"/>
  <c r="I1854" i="13" s="1"/>
  <c r="J565" i="13"/>
  <c r="G1939" i="13"/>
  <c r="H1939" i="13" s="1"/>
  <c r="G567" i="13"/>
  <c r="I567" i="13" s="1"/>
  <c r="D2002" i="20"/>
  <c r="E2002" i="20" s="1"/>
  <c r="F2002" i="20" s="1"/>
  <c r="G2001" i="20"/>
  <c r="H2001" i="20"/>
  <c r="D1079" i="13"/>
  <c r="G1078" i="13"/>
  <c r="D844" i="20"/>
  <c r="E844" i="20" s="1"/>
  <c r="F844" i="20" s="1"/>
  <c r="H843" i="20"/>
  <c r="D1735" i="20"/>
  <c r="H1734" i="20"/>
  <c r="D1379" i="20"/>
  <c r="E1379" i="20" s="1"/>
  <c r="F1379" i="20" s="1"/>
  <c r="H1378" i="20"/>
  <c r="G1378" i="20"/>
  <c r="I1507" i="13"/>
  <c r="H1507" i="13"/>
  <c r="E1508" i="13"/>
  <c r="F1508" i="13" s="1"/>
  <c r="D1509" i="13" s="1"/>
  <c r="F568" i="13"/>
  <c r="D569" i="13" s="1"/>
  <c r="H1201" i="20"/>
  <c r="G1201" i="20"/>
  <c r="E1855" i="13"/>
  <c r="F1855" i="13" s="1"/>
  <c r="J1077" i="13"/>
  <c r="I1645" i="20"/>
  <c r="J1335" i="13"/>
  <c r="J127" i="13"/>
  <c r="J389" i="13"/>
  <c r="I309" i="20"/>
  <c r="J1163" i="13"/>
  <c r="I2000" i="20"/>
  <c r="J1592" i="13"/>
  <c r="J992" i="13"/>
  <c r="D487" i="20"/>
  <c r="G486" i="20"/>
  <c r="H486" i="20"/>
  <c r="D1112" i="20"/>
  <c r="G1111" i="20"/>
  <c r="H1111" i="20"/>
  <c r="D935" i="20"/>
  <c r="G934" i="20"/>
  <c r="H934" i="20"/>
  <c r="D1337" i="13"/>
  <c r="G1336" i="13"/>
  <c r="D758" i="20"/>
  <c r="G757" i="20"/>
  <c r="H757" i="20"/>
  <c r="D221" i="20"/>
  <c r="G220" i="20"/>
  <c r="H220" i="20"/>
  <c r="D641" i="13"/>
  <c r="G640" i="13"/>
  <c r="D129" i="13"/>
  <c r="G128" i="13"/>
  <c r="D299" i="13"/>
  <c r="G298" i="13"/>
  <c r="D906" i="13"/>
  <c r="G905" i="13"/>
  <c r="D994" i="13"/>
  <c r="G993" i="13"/>
  <c r="D1165" i="13"/>
  <c r="G1164" i="13"/>
  <c r="D1022" i="20"/>
  <c r="G1021" i="20"/>
  <c r="H1021" i="20"/>
  <c r="D1913" i="20"/>
  <c r="G1912" i="20"/>
  <c r="H1912" i="20"/>
  <c r="D1289" i="20"/>
  <c r="G1288" i="20"/>
  <c r="H1288" i="20"/>
  <c r="D822" i="13"/>
  <c r="G821" i="13"/>
  <c r="D1422" i="13"/>
  <c r="G1421" i="13"/>
  <c r="E1561" i="20"/>
  <c r="F1561" i="20" s="1"/>
  <c r="D1562" i="20" s="1"/>
  <c r="H1938" i="13"/>
  <c r="I1938" i="13"/>
  <c r="E401" i="20"/>
  <c r="F401" i="20" s="1"/>
  <c r="E1826" i="20"/>
  <c r="F1826" i="20" s="1"/>
  <c r="H1593" i="13"/>
  <c r="I1593" i="13"/>
  <c r="E1768" i="13"/>
  <c r="F1768" i="13" s="1"/>
  <c r="E1682" i="13"/>
  <c r="F1682" i="13" s="1"/>
  <c r="D1683" i="13" s="1"/>
  <c r="E1202" i="20"/>
  <c r="F1202" i="20" s="1"/>
  <c r="H904" i="13"/>
  <c r="I904" i="13"/>
  <c r="G1734" i="20"/>
  <c r="G843" i="20"/>
  <c r="I756" i="20"/>
  <c r="I399" i="20"/>
  <c r="H400" i="20"/>
  <c r="H1468" i="20"/>
  <c r="E1594" i="13"/>
  <c r="F1594" i="13" s="1"/>
  <c r="D1595" i="13" s="1"/>
  <c r="E1250" i="13"/>
  <c r="F1250" i="13" s="1"/>
  <c r="H472" i="13"/>
  <c r="I472" i="13"/>
  <c r="E211" i="13"/>
  <c r="F211" i="13" s="1"/>
  <c r="H820" i="13"/>
  <c r="I820" i="13"/>
  <c r="I1559" i="20"/>
  <c r="E735" i="13"/>
  <c r="F735" i="13" s="1"/>
  <c r="D736" i="13" s="1"/>
  <c r="E1469" i="20"/>
  <c r="F1469" i="20" s="1"/>
  <c r="D1470" i="20" s="1"/>
  <c r="E310" i="20"/>
  <c r="F310" i="20" s="1"/>
  <c r="H1249" i="13"/>
  <c r="I1249" i="13"/>
  <c r="H210" i="13"/>
  <c r="I210" i="13"/>
  <c r="H1560" i="20"/>
  <c r="H733" i="13"/>
  <c r="I733" i="13"/>
  <c r="I1911" i="20"/>
  <c r="G400" i="20"/>
  <c r="H1825" i="20"/>
  <c r="G1468" i="20"/>
  <c r="I130" i="20"/>
  <c r="H390" i="13"/>
  <c r="I390" i="13"/>
  <c r="E1646" i="20"/>
  <c r="F1646" i="20" s="1"/>
  <c r="E473" i="13"/>
  <c r="F473" i="13" s="1"/>
  <c r="D474" i="13" s="1"/>
  <c r="I667" i="20"/>
  <c r="J1420" i="13"/>
  <c r="E1735" i="20"/>
  <c r="F1735" i="20" s="1"/>
  <c r="D1736" i="20" s="1"/>
  <c r="E1940" i="13"/>
  <c r="F1940" i="13" s="1"/>
  <c r="G1560" i="20"/>
  <c r="J297" i="13"/>
  <c r="G1825" i="20"/>
  <c r="G734" i="13"/>
  <c r="E131" i="20"/>
  <c r="F131" i="20" s="1"/>
  <c r="D132" i="20" s="1"/>
  <c r="E391" i="13"/>
  <c r="F391" i="13" s="1"/>
  <c r="H1767" i="13"/>
  <c r="I1767" i="13"/>
  <c r="H1681" i="13"/>
  <c r="I1681" i="13"/>
  <c r="E668" i="20"/>
  <c r="F668" i="20" s="1"/>
  <c r="D669" i="20" s="1"/>
  <c r="H567" i="13" l="1"/>
  <c r="J567" i="13" s="1"/>
  <c r="I1939" i="13"/>
  <c r="J1939" i="13" s="1"/>
  <c r="I843" i="20"/>
  <c r="I1378" i="20"/>
  <c r="I2001" i="20"/>
  <c r="I1201" i="20"/>
  <c r="H1854" i="13"/>
  <c r="J1854" i="13" s="1"/>
  <c r="I1734" i="20"/>
  <c r="B182" i="2"/>
  <c r="B183" i="2" s="1"/>
  <c r="B184" i="2" s="1"/>
  <c r="B185" i="2" s="1"/>
  <c r="B186" i="2" s="1"/>
  <c r="G668" i="20"/>
  <c r="G131" i="20"/>
  <c r="G1735" i="20"/>
  <c r="G1469" i="20"/>
  <c r="G568" i="13"/>
  <c r="H568" i="13" s="1"/>
  <c r="D845" i="20"/>
  <c r="E845" i="20" s="1"/>
  <c r="F845" i="20" s="1"/>
  <c r="G844" i="20"/>
  <c r="D311" i="20"/>
  <c r="E311" i="20" s="1"/>
  <c r="F311" i="20" s="1"/>
  <c r="G310" i="20"/>
  <c r="D2003" i="20"/>
  <c r="G2002" i="20"/>
  <c r="D1647" i="20"/>
  <c r="G1646" i="20"/>
  <c r="D1251" i="13"/>
  <c r="E1251" i="13" s="1"/>
  <c r="F1251" i="13" s="1"/>
  <c r="G1250" i="13"/>
  <c r="H1250" i="13" s="1"/>
  <c r="E1079" i="13"/>
  <c r="F1079" i="13" s="1"/>
  <c r="D1080" i="13" s="1"/>
  <c r="F569" i="13"/>
  <c r="D570" i="13" s="1"/>
  <c r="H668" i="20"/>
  <c r="G1508" i="13"/>
  <c r="D1856" i="13"/>
  <c r="G1855" i="13"/>
  <c r="E1509" i="13"/>
  <c r="F1509" i="13" s="1"/>
  <c r="D1510" i="13" s="1"/>
  <c r="J1507" i="13"/>
  <c r="H1078" i="13"/>
  <c r="I1078" i="13"/>
  <c r="I1021" i="20"/>
  <c r="J1767" i="13"/>
  <c r="J733" i="13"/>
  <c r="J472" i="13"/>
  <c r="I1912" i="20"/>
  <c r="I486" i="20"/>
  <c r="J1681" i="13"/>
  <c r="J1249" i="13"/>
  <c r="J820" i="13"/>
  <c r="I1468" i="20"/>
  <c r="J1938" i="13"/>
  <c r="I1288" i="20"/>
  <c r="I757" i="20"/>
  <c r="I1111" i="20"/>
  <c r="D212" i="13"/>
  <c r="G211" i="13"/>
  <c r="D1827" i="20"/>
  <c r="H1826" i="20"/>
  <c r="G1826" i="20"/>
  <c r="D402" i="20"/>
  <c r="H401" i="20"/>
  <c r="G401" i="20"/>
  <c r="D392" i="13"/>
  <c r="G391" i="13"/>
  <c r="D1769" i="13"/>
  <c r="G1768" i="13"/>
  <c r="D1203" i="20"/>
  <c r="G1202" i="20"/>
  <c r="H1202" i="20"/>
  <c r="D1941" i="13"/>
  <c r="G1940" i="13"/>
  <c r="D1380" i="20"/>
  <c r="G1379" i="20"/>
  <c r="H1379" i="20"/>
  <c r="E758" i="20"/>
  <c r="F758" i="20" s="1"/>
  <c r="D759" i="20" s="1"/>
  <c r="E1647" i="20"/>
  <c r="F1647" i="20" s="1"/>
  <c r="E2003" i="20"/>
  <c r="E1683" i="13"/>
  <c r="F1683" i="13" s="1"/>
  <c r="D1684" i="13" s="1"/>
  <c r="E822" i="13"/>
  <c r="F822" i="13" s="1"/>
  <c r="H993" i="13"/>
  <c r="I993" i="13"/>
  <c r="H298" i="13"/>
  <c r="I298" i="13"/>
  <c r="H640" i="13"/>
  <c r="I640" i="13"/>
  <c r="E221" i="20"/>
  <c r="F221" i="20" s="1"/>
  <c r="H1336" i="13"/>
  <c r="I1336" i="13"/>
  <c r="E935" i="20"/>
  <c r="F935" i="20" s="1"/>
  <c r="D936" i="20" s="1"/>
  <c r="E474" i="13"/>
  <c r="F474" i="13" s="1"/>
  <c r="E736" i="13"/>
  <c r="F736" i="13" s="1"/>
  <c r="D737" i="13" s="1"/>
  <c r="E1595" i="13"/>
  <c r="F1595" i="13" s="1"/>
  <c r="D1596" i="13" s="1"/>
  <c r="E1289" i="20"/>
  <c r="F1289" i="20" s="1"/>
  <c r="E906" i="13"/>
  <c r="F906" i="13" s="1"/>
  <c r="D907" i="13" s="1"/>
  <c r="E1112" i="20"/>
  <c r="F1112" i="20" s="1"/>
  <c r="I1825" i="20"/>
  <c r="G473" i="13"/>
  <c r="I1560" i="20"/>
  <c r="I400" i="20"/>
  <c r="H1561" i="20"/>
  <c r="H1421" i="13"/>
  <c r="I1421" i="13"/>
  <c r="E1022" i="20"/>
  <c r="F1022" i="20" s="1"/>
  <c r="D1023" i="20" s="1"/>
  <c r="E994" i="13"/>
  <c r="F994" i="13" s="1"/>
  <c r="E299" i="13"/>
  <c r="F299" i="13" s="1"/>
  <c r="D300" i="13" s="1"/>
  <c r="E641" i="13"/>
  <c r="F641" i="13" s="1"/>
  <c r="E1337" i="13"/>
  <c r="F1337" i="13" s="1"/>
  <c r="D1338" i="13" s="1"/>
  <c r="E1562" i="20"/>
  <c r="F1562" i="20" s="1"/>
  <c r="H821" i="13"/>
  <c r="I821" i="13"/>
  <c r="E1165" i="13"/>
  <c r="F1165" i="13" s="1"/>
  <c r="E129" i="13"/>
  <c r="F129" i="13" s="1"/>
  <c r="D130" i="13" s="1"/>
  <c r="E132" i="20"/>
  <c r="F132" i="20" s="1"/>
  <c r="D133" i="20" s="1"/>
  <c r="E1736" i="20"/>
  <c r="F1736" i="20" s="1"/>
  <c r="E1470" i="20"/>
  <c r="F1470" i="20" s="1"/>
  <c r="D1471" i="20" s="1"/>
  <c r="E669" i="20"/>
  <c r="F669" i="20" s="1"/>
  <c r="D670" i="20" s="1"/>
  <c r="H131" i="20"/>
  <c r="H734" i="13"/>
  <c r="I734" i="13"/>
  <c r="H844" i="20"/>
  <c r="H1735" i="20"/>
  <c r="H1646" i="20"/>
  <c r="J390" i="13"/>
  <c r="J210" i="13"/>
  <c r="H310" i="20"/>
  <c r="H1469" i="20"/>
  <c r="G735" i="13"/>
  <c r="G1594" i="13"/>
  <c r="H2002" i="20"/>
  <c r="J904" i="13"/>
  <c r="G1682" i="13"/>
  <c r="J1593" i="13"/>
  <c r="G1561" i="20"/>
  <c r="E1422" i="13"/>
  <c r="F1422" i="13" s="1"/>
  <c r="D1423" i="13" s="1"/>
  <c r="E1913" i="20"/>
  <c r="F1913" i="20" s="1"/>
  <c r="H1164" i="13"/>
  <c r="I1164" i="13"/>
  <c r="H905" i="13"/>
  <c r="I905" i="13"/>
  <c r="H128" i="13"/>
  <c r="I128" i="13"/>
  <c r="I220" i="20"/>
  <c r="I934" i="20"/>
  <c r="E487" i="20"/>
  <c r="F487" i="20" s="1"/>
  <c r="D488" i="20" s="1"/>
  <c r="F2003" i="20" l="1"/>
  <c r="D2004" i="20" s="1"/>
  <c r="I131" i="20"/>
  <c r="I568" i="13"/>
  <c r="J568" i="13" s="1"/>
  <c r="I668" i="20"/>
  <c r="I1646" i="20"/>
  <c r="I2002" i="20"/>
  <c r="I310" i="20"/>
  <c r="I1735" i="20"/>
  <c r="I1469" i="20"/>
  <c r="I844" i="20"/>
  <c r="B188" i="2"/>
  <c r="B189" i="2" s="1"/>
  <c r="I1250" i="13"/>
  <c r="J1250" i="13" s="1"/>
  <c r="J1078" i="13"/>
  <c r="E186" i="2"/>
  <c r="D312" i="20"/>
  <c r="E312" i="20" s="1"/>
  <c r="F312" i="20" s="1"/>
  <c r="H311" i="20"/>
  <c r="G1079" i="13"/>
  <c r="I1079" i="13" s="1"/>
  <c r="G1422" i="13"/>
  <c r="I1422" i="13" s="1"/>
  <c r="H2003" i="20"/>
  <c r="G569" i="13"/>
  <c r="H569" i="13" s="1"/>
  <c r="D642" i="13"/>
  <c r="E642" i="13" s="1"/>
  <c r="F642" i="13" s="1"/>
  <c r="D643" i="13" s="1"/>
  <c r="G641" i="13"/>
  <c r="H641" i="13" s="1"/>
  <c r="E1856" i="13"/>
  <c r="F1856" i="13" s="1"/>
  <c r="D1857" i="13" s="1"/>
  <c r="G129" i="13"/>
  <c r="H129" i="13" s="1"/>
  <c r="G2003" i="20"/>
  <c r="G311" i="20"/>
  <c r="G1509" i="13"/>
  <c r="H1508" i="13"/>
  <c r="I1508" i="13"/>
  <c r="F570" i="13"/>
  <c r="D571" i="13" s="1"/>
  <c r="H758" i="20"/>
  <c r="E1510" i="13"/>
  <c r="F1510" i="13" s="1"/>
  <c r="D1511" i="13" s="1"/>
  <c r="H1079" i="13"/>
  <c r="G669" i="20"/>
  <c r="G1595" i="13"/>
  <c r="G758" i="20"/>
  <c r="H1855" i="13"/>
  <c r="I1855" i="13"/>
  <c r="E1080" i="13"/>
  <c r="F1080" i="13" s="1"/>
  <c r="I1379" i="20"/>
  <c r="J298" i="13"/>
  <c r="I1826" i="20"/>
  <c r="J640" i="13"/>
  <c r="J993" i="13"/>
  <c r="I1202" i="20"/>
  <c r="J905" i="13"/>
  <c r="J734" i="13"/>
  <c r="J1421" i="13"/>
  <c r="J1336" i="13"/>
  <c r="D1113" i="20"/>
  <c r="H1112" i="20"/>
  <c r="G1112" i="20"/>
  <c r="D1563" i="20"/>
  <c r="G1562" i="20"/>
  <c r="H1562" i="20"/>
  <c r="D1914" i="20"/>
  <c r="H1913" i="20"/>
  <c r="G1913" i="20"/>
  <c r="D1166" i="13"/>
  <c r="G1165" i="13"/>
  <c r="D1648" i="20"/>
  <c r="G1647" i="20"/>
  <c r="H1647" i="20"/>
  <c r="D1252" i="13"/>
  <c r="G1251" i="13"/>
  <c r="D222" i="20"/>
  <c r="H221" i="20"/>
  <c r="G221" i="20"/>
  <c r="D1737" i="20"/>
  <c r="G1736" i="20"/>
  <c r="H1736" i="20"/>
  <c r="D995" i="13"/>
  <c r="G994" i="13"/>
  <c r="D1290" i="20"/>
  <c r="H1289" i="20"/>
  <c r="G1289" i="20"/>
  <c r="D475" i="13"/>
  <c r="G474" i="13"/>
  <c r="D823" i="13"/>
  <c r="G822" i="13"/>
  <c r="D846" i="20"/>
  <c r="H845" i="20"/>
  <c r="G845" i="20"/>
  <c r="E133" i="20"/>
  <c r="F133" i="20" s="1"/>
  <c r="D134" i="20" s="1"/>
  <c r="E936" i="20"/>
  <c r="F936" i="20" s="1"/>
  <c r="D937" i="20" s="1"/>
  <c r="H1768" i="13"/>
  <c r="I1768" i="13"/>
  <c r="E1596" i="13"/>
  <c r="F1596" i="13" s="1"/>
  <c r="E1684" i="13"/>
  <c r="F1684" i="13" s="1"/>
  <c r="E1769" i="13"/>
  <c r="F1769" i="13" s="1"/>
  <c r="D1770" i="13" s="1"/>
  <c r="I401" i="20"/>
  <c r="E1827" i="20"/>
  <c r="F1827" i="20" s="1"/>
  <c r="E488" i="20"/>
  <c r="F488" i="20" s="1"/>
  <c r="E300" i="13"/>
  <c r="F300" i="13" s="1"/>
  <c r="D301" i="13" s="1"/>
  <c r="I1561" i="20"/>
  <c r="E907" i="13"/>
  <c r="F907" i="13" s="1"/>
  <c r="D908" i="13" s="1"/>
  <c r="E737" i="13"/>
  <c r="F737" i="13" s="1"/>
  <c r="D738" i="13" s="1"/>
  <c r="E1941" i="13"/>
  <c r="F1941" i="13" s="1"/>
  <c r="D1942" i="13" s="1"/>
  <c r="G299" i="13"/>
  <c r="H473" i="13"/>
  <c r="I473" i="13"/>
  <c r="G487" i="20"/>
  <c r="E1423" i="13"/>
  <c r="F1423" i="13" s="1"/>
  <c r="H1682" i="13"/>
  <c r="I1682" i="13"/>
  <c r="H1470" i="20"/>
  <c r="H132" i="20"/>
  <c r="E130" i="13"/>
  <c r="F130" i="13" s="1"/>
  <c r="H1022" i="20"/>
  <c r="G906" i="13"/>
  <c r="G736" i="13"/>
  <c r="H935" i="20"/>
  <c r="G1683" i="13"/>
  <c r="E2004" i="20"/>
  <c r="F2004" i="20" s="1"/>
  <c r="E759" i="20"/>
  <c r="F759" i="20" s="1"/>
  <c r="D760" i="20" s="1"/>
  <c r="E1380" i="20"/>
  <c r="F1380" i="20" s="1"/>
  <c r="D1381" i="20" s="1"/>
  <c r="H391" i="13"/>
  <c r="I391" i="13"/>
  <c r="E402" i="20"/>
  <c r="F402" i="20" s="1"/>
  <c r="H211" i="13"/>
  <c r="I211" i="13"/>
  <c r="H735" i="13"/>
  <c r="I735" i="13"/>
  <c r="E1471" i="20"/>
  <c r="F1471" i="20" s="1"/>
  <c r="E1338" i="13"/>
  <c r="F1338" i="13" s="1"/>
  <c r="D1339" i="13" s="1"/>
  <c r="E1023" i="20"/>
  <c r="F1023" i="20" s="1"/>
  <c r="H1595" i="13"/>
  <c r="I1595" i="13"/>
  <c r="H487" i="20"/>
  <c r="E670" i="20"/>
  <c r="F670" i="20" s="1"/>
  <c r="D671" i="20" s="1"/>
  <c r="J128" i="13"/>
  <c r="J1164" i="13"/>
  <c r="H1594" i="13"/>
  <c r="I1594" i="13"/>
  <c r="H669" i="20"/>
  <c r="G1470" i="20"/>
  <c r="G132" i="20"/>
  <c r="J821" i="13"/>
  <c r="G1337" i="13"/>
  <c r="G1022" i="20"/>
  <c r="G935" i="20"/>
  <c r="H1940" i="13"/>
  <c r="I1940" i="13"/>
  <c r="E1203" i="20"/>
  <c r="F1203" i="20" s="1"/>
  <c r="D1204" i="20" s="1"/>
  <c r="E392" i="13"/>
  <c r="F392" i="13" s="1"/>
  <c r="E212" i="13"/>
  <c r="F212" i="13" s="1"/>
  <c r="I129" i="13" l="1"/>
  <c r="J129" i="13" s="1"/>
  <c r="I641" i="13"/>
  <c r="J641" i="13" s="1"/>
  <c r="H1422" i="13"/>
  <c r="J1422" i="13" s="1"/>
  <c r="I669" i="20"/>
  <c r="I2003" i="20"/>
  <c r="I311" i="20"/>
  <c r="B190" i="2"/>
  <c r="D193" i="2"/>
  <c r="I1736" i="20"/>
  <c r="I569" i="13"/>
  <c r="J569" i="13" s="1"/>
  <c r="H759" i="20"/>
  <c r="G759" i="20"/>
  <c r="G1510" i="13"/>
  <c r="H1510" i="13" s="1"/>
  <c r="J1682" i="13"/>
  <c r="J473" i="13"/>
  <c r="J1079" i="13"/>
  <c r="I758" i="20"/>
  <c r="D1081" i="13"/>
  <c r="G1080" i="13"/>
  <c r="D1472" i="20"/>
  <c r="E1472" i="20" s="1"/>
  <c r="F1472" i="20" s="1"/>
  <c r="H1471" i="20"/>
  <c r="G1471" i="20"/>
  <c r="D2005" i="20"/>
  <c r="E2005" i="20" s="1"/>
  <c r="F2005" i="20" s="1"/>
  <c r="G2004" i="20"/>
  <c r="H2004" i="20"/>
  <c r="D1597" i="13"/>
  <c r="E1597" i="13" s="1"/>
  <c r="F1597" i="13" s="1"/>
  <c r="D1598" i="13" s="1"/>
  <c r="G1596" i="13"/>
  <c r="H1596" i="13" s="1"/>
  <c r="D403" i="20"/>
  <c r="E403" i="20" s="1"/>
  <c r="F403" i="20" s="1"/>
  <c r="H402" i="20"/>
  <c r="G402" i="20"/>
  <c r="E1857" i="13"/>
  <c r="F1857" i="13" s="1"/>
  <c r="D1858" i="13" s="1"/>
  <c r="J1768" i="13"/>
  <c r="F571" i="13"/>
  <c r="D572" i="13" s="1"/>
  <c r="I1509" i="13"/>
  <c r="H1509" i="13"/>
  <c r="G300" i="13"/>
  <c r="H300" i="13" s="1"/>
  <c r="G570" i="13"/>
  <c r="J1855" i="13"/>
  <c r="E1511" i="13"/>
  <c r="F1511" i="13" s="1"/>
  <c r="J1508" i="13"/>
  <c r="G1856" i="13"/>
  <c r="J211" i="13"/>
  <c r="I1647" i="20"/>
  <c r="J1594" i="13"/>
  <c r="I221" i="20"/>
  <c r="I1913" i="20"/>
  <c r="I487" i="20"/>
  <c r="J1940" i="13"/>
  <c r="J735" i="13"/>
  <c r="J391" i="13"/>
  <c r="I935" i="20"/>
  <c r="I1562" i="20"/>
  <c r="D313" i="20"/>
  <c r="G312" i="20"/>
  <c r="H312" i="20"/>
  <c r="D489" i="20"/>
  <c r="H488" i="20"/>
  <c r="G488" i="20"/>
  <c r="D213" i="13"/>
  <c r="G212" i="13"/>
  <c r="D1424" i="13"/>
  <c r="G1423" i="13"/>
  <c r="D1828" i="20"/>
  <c r="G1827" i="20"/>
  <c r="H1827" i="20"/>
  <c r="D1685" i="13"/>
  <c r="G1684" i="13"/>
  <c r="D393" i="13"/>
  <c r="G392" i="13"/>
  <c r="D1024" i="20"/>
  <c r="G1023" i="20"/>
  <c r="H1023" i="20"/>
  <c r="D131" i="13"/>
  <c r="G130" i="13"/>
  <c r="E1204" i="20"/>
  <c r="F1204" i="20" s="1"/>
  <c r="D1205" i="20" s="1"/>
  <c r="E643" i="13"/>
  <c r="F643" i="13" s="1"/>
  <c r="D644" i="13" s="1"/>
  <c r="E908" i="13"/>
  <c r="F908" i="13" s="1"/>
  <c r="D909" i="13" s="1"/>
  <c r="E937" i="20"/>
  <c r="F937" i="20" s="1"/>
  <c r="E1166" i="13"/>
  <c r="F1166" i="13" s="1"/>
  <c r="E1942" i="13"/>
  <c r="F1942" i="13" s="1"/>
  <c r="D1943" i="13" s="1"/>
  <c r="G737" i="13"/>
  <c r="E301" i="13"/>
  <c r="F301" i="13" s="1"/>
  <c r="E1770" i="13"/>
  <c r="F1770" i="13" s="1"/>
  <c r="D1771" i="13" s="1"/>
  <c r="H822" i="13"/>
  <c r="I822" i="13"/>
  <c r="E995" i="13"/>
  <c r="F995" i="13" s="1"/>
  <c r="D996" i="13" s="1"/>
  <c r="E222" i="20"/>
  <c r="F222" i="20" s="1"/>
  <c r="E1914" i="20"/>
  <c r="F1914" i="20" s="1"/>
  <c r="D1915" i="20" s="1"/>
  <c r="E671" i="20"/>
  <c r="F671" i="20" s="1"/>
  <c r="E1381" i="20"/>
  <c r="F1381" i="20" s="1"/>
  <c r="E738" i="13"/>
  <c r="F738" i="13" s="1"/>
  <c r="D739" i="13" s="1"/>
  <c r="E846" i="20"/>
  <c r="F846" i="20" s="1"/>
  <c r="H994" i="13"/>
  <c r="I994" i="13"/>
  <c r="E1563" i="20"/>
  <c r="F1563" i="20" s="1"/>
  <c r="H1337" i="13"/>
  <c r="I1337" i="13"/>
  <c r="G1203" i="20"/>
  <c r="H670" i="20"/>
  <c r="H1380" i="20"/>
  <c r="E760" i="20"/>
  <c r="F760" i="20" s="1"/>
  <c r="D761" i="20" s="1"/>
  <c r="H736" i="13"/>
  <c r="I736" i="13"/>
  <c r="I1022" i="20"/>
  <c r="I132" i="20"/>
  <c r="H299" i="13"/>
  <c r="I299" i="13"/>
  <c r="G1941" i="13"/>
  <c r="G1769" i="13"/>
  <c r="H936" i="20"/>
  <c r="H133" i="20"/>
  <c r="E823" i="13"/>
  <c r="F823" i="13" s="1"/>
  <c r="I1289" i="20"/>
  <c r="E1737" i="20"/>
  <c r="F1737" i="20" s="1"/>
  <c r="D1738" i="20" s="1"/>
  <c r="H1251" i="13"/>
  <c r="I1251" i="13"/>
  <c r="E1648" i="20"/>
  <c r="F1648" i="20" s="1"/>
  <c r="D1649" i="20" s="1"/>
  <c r="I1112" i="20"/>
  <c r="H1683" i="13"/>
  <c r="I1683" i="13"/>
  <c r="E134" i="20"/>
  <c r="F134" i="20" s="1"/>
  <c r="E475" i="13"/>
  <c r="F475" i="13" s="1"/>
  <c r="H1203" i="20"/>
  <c r="E1339" i="13"/>
  <c r="F1339" i="13" s="1"/>
  <c r="G670" i="20"/>
  <c r="J1595" i="13"/>
  <c r="G1338" i="13"/>
  <c r="G1380" i="20"/>
  <c r="H906" i="13"/>
  <c r="I906" i="13"/>
  <c r="G642" i="13"/>
  <c r="I1470" i="20"/>
  <c r="G907" i="13"/>
  <c r="G936" i="20"/>
  <c r="G133" i="20"/>
  <c r="I845" i="20"/>
  <c r="H474" i="13"/>
  <c r="I474" i="13"/>
  <c r="E1290" i="20"/>
  <c r="F1290" i="20" s="1"/>
  <c r="D1291" i="20" s="1"/>
  <c r="E1252" i="13"/>
  <c r="F1252" i="13" s="1"/>
  <c r="H1165" i="13"/>
  <c r="I1165" i="13"/>
  <c r="E1113" i="20"/>
  <c r="F1113" i="20" s="1"/>
  <c r="D1114" i="20" s="1"/>
  <c r="I1596" i="13" l="1"/>
  <c r="J1596" i="13" s="1"/>
  <c r="I300" i="13"/>
  <c r="J300" i="13" s="1"/>
  <c r="I759" i="20"/>
  <c r="I1471" i="20"/>
  <c r="I2004" i="20"/>
  <c r="J1509" i="13"/>
  <c r="I1510" i="13"/>
  <c r="J1510" i="13" s="1"/>
  <c r="G571" i="13"/>
  <c r="H571" i="13" s="1"/>
  <c r="C35" i="20"/>
  <c r="C35" i="13"/>
  <c r="B191" i="2"/>
  <c r="B192" i="2" s="1"/>
  <c r="B193" i="2" s="1"/>
  <c r="G1857" i="13"/>
  <c r="H1857" i="13" s="1"/>
  <c r="I402" i="20"/>
  <c r="D1512" i="13"/>
  <c r="G1511" i="13"/>
  <c r="D672" i="20"/>
  <c r="E672" i="20" s="1"/>
  <c r="F672" i="20" s="1"/>
  <c r="G671" i="20"/>
  <c r="H671" i="20"/>
  <c r="D1564" i="20"/>
  <c r="E1564" i="20" s="1"/>
  <c r="F1564" i="20" s="1"/>
  <c r="D1565" i="20" s="1"/>
  <c r="G1563" i="20"/>
  <c r="H1563" i="20"/>
  <c r="D2006" i="20"/>
  <c r="H2005" i="20"/>
  <c r="D1382" i="20"/>
  <c r="E1382" i="20" s="1"/>
  <c r="F1382" i="20" s="1"/>
  <c r="G1381" i="20"/>
  <c r="H1381" i="20"/>
  <c r="H1856" i="13"/>
  <c r="I1856" i="13"/>
  <c r="G995" i="13"/>
  <c r="H995" i="13" s="1"/>
  <c r="E1858" i="13"/>
  <c r="F1858" i="13" s="1"/>
  <c r="D1859" i="13" s="1"/>
  <c r="E1859" i="13" s="1"/>
  <c r="F1859" i="13" s="1"/>
  <c r="D1860" i="13" s="1"/>
  <c r="H1648" i="20"/>
  <c r="H760" i="20"/>
  <c r="F572" i="13"/>
  <c r="D573" i="13" s="1"/>
  <c r="H1080" i="13"/>
  <c r="I1080" i="13"/>
  <c r="G1648" i="20"/>
  <c r="I570" i="13"/>
  <c r="H570" i="13"/>
  <c r="E1081" i="13"/>
  <c r="F1081" i="13" s="1"/>
  <c r="I1023" i="20"/>
  <c r="J299" i="13"/>
  <c r="J1337" i="13"/>
  <c r="I936" i="20"/>
  <c r="J1683" i="13"/>
  <c r="I1380" i="20"/>
  <c r="I312" i="20"/>
  <c r="D824" i="13"/>
  <c r="G823" i="13"/>
  <c r="D1253" i="13"/>
  <c r="G1252" i="13"/>
  <c r="D302" i="13"/>
  <c r="G301" i="13"/>
  <c r="D476" i="13"/>
  <c r="G475" i="13"/>
  <c r="D1473" i="20"/>
  <c r="G1472" i="20"/>
  <c r="H1472" i="20"/>
  <c r="D847" i="20"/>
  <c r="G846" i="20"/>
  <c r="H846" i="20"/>
  <c r="D1167" i="13"/>
  <c r="G1166" i="13"/>
  <c r="D1340" i="13"/>
  <c r="G1339" i="13"/>
  <c r="D404" i="20"/>
  <c r="G403" i="20"/>
  <c r="H403" i="20"/>
  <c r="D135" i="20"/>
  <c r="G134" i="20"/>
  <c r="H134" i="20"/>
  <c r="D223" i="20"/>
  <c r="H222" i="20"/>
  <c r="G222" i="20"/>
  <c r="D938" i="20"/>
  <c r="G937" i="20"/>
  <c r="H937" i="20"/>
  <c r="E1114" i="20"/>
  <c r="F1114" i="20" s="1"/>
  <c r="D1115" i="20" s="1"/>
  <c r="E1291" i="20"/>
  <c r="F1291" i="20" s="1"/>
  <c r="D1292" i="20" s="1"/>
  <c r="E1915" i="20"/>
  <c r="F1915" i="20" s="1"/>
  <c r="D1916" i="20" s="1"/>
  <c r="I995" i="13"/>
  <c r="E1771" i="13"/>
  <c r="F1771" i="13" s="1"/>
  <c r="D1772" i="13" s="1"/>
  <c r="E1943" i="13"/>
  <c r="F1943" i="13" s="1"/>
  <c r="D1944" i="13" s="1"/>
  <c r="E644" i="13"/>
  <c r="F644" i="13" s="1"/>
  <c r="E489" i="20"/>
  <c r="F489" i="20" s="1"/>
  <c r="D490" i="20" s="1"/>
  <c r="I1203" i="20"/>
  <c r="E1649" i="20"/>
  <c r="F1649" i="20" s="1"/>
  <c r="H1737" i="20"/>
  <c r="H1769" i="13"/>
  <c r="I1769" i="13"/>
  <c r="G2005" i="20"/>
  <c r="G760" i="20"/>
  <c r="I670" i="20"/>
  <c r="E739" i="13"/>
  <c r="F739" i="13" s="1"/>
  <c r="D740" i="13" s="1"/>
  <c r="E996" i="13"/>
  <c r="F996" i="13" s="1"/>
  <c r="D997" i="13" s="1"/>
  <c r="E1598" i="13"/>
  <c r="F1598" i="13" s="1"/>
  <c r="D1599" i="13" s="1"/>
  <c r="G908" i="13"/>
  <c r="H1684" i="13"/>
  <c r="I1684" i="13"/>
  <c r="E1828" i="20"/>
  <c r="F1828" i="20" s="1"/>
  <c r="D1829" i="20" s="1"/>
  <c r="E213" i="13"/>
  <c r="F213" i="13" s="1"/>
  <c r="E909" i="13"/>
  <c r="F909" i="13" s="1"/>
  <c r="E1205" i="20"/>
  <c r="F1205" i="20" s="1"/>
  <c r="E393" i="13"/>
  <c r="F393" i="13" s="1"/>
  <c r="D394" i="13" s="1"/>
  <c r="H212" i="13"/>
  <c r="I212" i="13"/>
  <c r="H1113" i="20"/>
  <c r="J1165" i="13"/>
  <c r="H1290" i="20"/>
  <c r="J474" i="13"/>
  <c r="H642" i="13"/>
  <c r="I642" i="13"/>
  <c r="H1338" i="13"/>
  <c r="I1338" i="13"/>
  <c r="G1737" i="20"/>
  <c r="J736" i="13"/>
  <c r="H1914" i="20"/>
  <c r="G1770" i="13"/>
  <c r="H737" i="13"/>
  <c r="I737" i="13"/>
  <c r="H1204" i="20"/>
  <c r="H130" i="13"/>
  <c r="I130" i="13"/>
  <c r="E1024" i="20"/>
  <c r="F1024" i="20" s="1"/>
  <c r="D1025" i="20" s="1"/>
  <c r="E1685" i="13"/>
  <c r="F1685" i="13" s="1"/>
  <c r="H1423" i="13"/>
  <c r="I1423" i="13"/>
  <c r="E1738" i="20"/>
  <c r="F1738" i="20" s="1"/>
  <c r="G1113" i="20"/>
  <c r="G1290" i="20"/>
  <c r="H907" i="13"/>
  <c r="I907" i="13"/>
  <c r="J906" i="13"/>
  <c r="J1251" i="13"/>
  <c r="I133" i="20"/>
  <c r="H1941" i="13"/>
  <c r="I1941" i="13"/>
  <c r="E761" i="20"/>
  <c r="F761" i="20" s="1"/>
  <c r="J994" i="13"/>
  <c r="G738" i="13"/>
  <c r="G1914" i="20"/>
  <c r="J822" i="13"/>
  <c r="G1597" i="13"/>
  <c r="G1942" i="13"/>
  <c r="G643" i="13"/>
  <c r="G1204" i="20"/>
  <c r="E131" i="13"/>
  <c r="F131" i="13" s="1"/>
  <c r="H392" i="13"/>
  <c r="I392" i="13"/>
  <c r="I1827" i="20"/>
  <c r="E1424" i="13"/>
  <c r="F1424" i="13" s="1"/>
  <c r="I488" i="20"/>
  <c r="E313" i="20"/>
  <c r="F313" i="20" s="1"/>
  <c r="I1857" i="13" l="1"/>
  <c r="I760" i="20"/>
  <c r="I1381" i="20"/>
  <c r="I1648" i="20"/>
  <c r="I671" i="20"/>
  <c r="I1563" i="20"/>
  <c r="J1080" i="13"/>
  <c r="B194" i="2"/>
  <c r="E2006" i="20"/>
  <c r="F2006" i="20" s="1"/>
  <c r="I571" i="13"/>
  <c r="J571" i="13" s="1"/>
  <c r="I2005" i="20"/>
  <c r="J1856" i="13"/>
  <c r="J1857" i="13"/>
  <c r="G1859" i="13"/>
  <c r="I1859" i="13" s="1"/>
  <c r="J570" i="13"/>
  <c r="G572" i="13"/>
  <c r="H572" i="13" s="1"/>
  <c r="G1858" i="13"/>
  <c r="I1858" i="13" s="1"/>
  <c r="D1082" i="13"/>
  <c r="G1081" i="13"/>
  <c r="G1024" i="20"/>
  <c r="G1771" i="13"/>
  <c r="H1771" i="13" s="1"/>
  <c r="H1511" i="13"/>
  <c r="I1511" i="13"/>
  <c r="G489" i="20"/>
  <c r="F573" i="13"/>
  <c r="D574" i="13" s="1"/>
  <c r="E1512" i="13"/>
  <c r="F1512" i="13" s="1"/>
  <c r="D1513" i="13" s="1"/>
  <c r="I403" i="20"/>
  <c r="I1472" i="20"/>
  <c r="J1769" i="13"/>
  <c r="J642" i="13"/>
  <c r="J907" i="13"/>
  <c r="J392" i="13"/>
  <c r="J995" i="13"/>
  <c r="I937" i="20"/>
  <c r="I846" i="20"/>
  <c r="I134" i="20"/>
  <c r="I1204" i="20"/>
  <c r="J1684" i="13"/>
  <c r="D132" i="13"/>
  <c r="G131" i="13"/>
  <c r="D214" i="13"/>
  <c r="G213" i="13"/>
  <c r="D1383" i="20"/>
  <c r="H1382" i="20"/>
  <c r="G1382" i="20"/>
  <c r="D645" i="13"/>
  <c r="G644" i="13"/>
  <c r="D910" i="13"/>
  <c r="G909" i="13"/>
  <c r="D314" i="20"/>
  <c r="H313" i="20"/>
  <c r="G313" i="20"/>
  <c r="D762" i="20"/>
  <c r="G761" i="20"/>
  <c r="H761" i="20"/>
  <c r="D1739" i="20"/>
  <c r="G1738" i="20"/>
  <c r="H1738" i="20"/>
  <c r="D1425" i="13"/>
  <c r="G1424" i="13"/>
  <c r="D1206" i="20"/>
  <c r="H1205" i="20"/>
  <c r="G1205" i="20"/>
  <c r="D1650" i="20"/>
  <c r="H1649" i="20"/>
  <c r="G1649" i="20"/>
  <c r="D1686" i="13"/>
  <c r="G1685" i="13"/>
  <c r="D673" i="20"/>
  <c r="H672" i="20"/>
  <c r="G672" i="20"/>
  <c r="E740" i="13"/>
  <c r="F740" i="13" s="1"/>
  <c r="D741" i="13" s="1"/>
  <c r="E1292" i="20"/>
  <c r="F1292" i="20" s="1"/>
  <c r="E938" i="20"/>
  <c r="F938" i="20" s="1"/>
  <c r="H475" i="13"/>
  <c r="I475" i="13"/>
  <c r="E1025" i="20"/>
  <c r="F1025" i="20" s="1"/>
  <c r="D1026" i="20" s="1"/>
  <c r="I1113" i="20"/>
  <c r="H1828" i="20"/>
  <c r="H1564" i="20"/>
  <c r="E490" i="20"/>
  <c r="F490" i="20" s="1"/>
  <c r="E1860" i="13"/>
  <c r="F1860" i="13" s="1"/>
  <c r="D1861" i="13" s="1"/>
  <c r="E1167" i="13"/>
  <c r="F1167" i="13" s="1"/>
  <c r="E476" i="13"/>
  <c r="F476" i="13" s="1"/>
  <c r="E1253" i="13"/>
  <c r="F1253" i="13" s="1"/>
  <c r="H1942" i="13"/>
  <c r="I1942" i="13"/>
  <c r="H738" i="13"/>
  <c r="I738" i="13"/>
  <c r="E1829" i="20"/>
  <c r="F1829" i="20" s="1"/>
  <c r="E1599" i="13"/>
  <c r="F1599" i="13" s="1"/>
  <c r="D1600" i="13" s="1"/>
  <c r="E1565" i="20"/>
  <c r="F1565" i="20" s="1"/>
  <c r="D1566" i="20" s="1"/>
  <c r="E1944" i="13"/>
  <c r="F1944" i="13" s="1"/>
  <c r="E1916" i="20"/>
  <c r="F1916" i="20" s="1"/>
  <c r="H1166" i="13"/>
  <c r="I1166" i="13"/>
  <c r="E847" i="20"/>
  <c r="F847" i="20" s="1"/>
  <c r="H1252" i="13"/>
  <c r="I1252" i="13"/>
  <c r="H1597" i="13"/>
  <c r="I1597" i="13"/>
  <c r="J1941" i="13"/>
  <c r="J1423" i="13"/>
  <c r="J737" i="13"/>
  <c r="I1914" i="20"/>
  <c r="J1338" i="13"/>
  <c r="J212" i="13"/>
  <c r="G393" i="13"/>
  <c r="G1828" i="20"/>
  <c r="G1598" i="13"/>
  <c r="G1564" i="20"/>
  <c r="I1737" i="20"/>
  <c r="G1943" i="13"/>
  <c r="E1772" i="13"/>
  <c r="F1772" i="13" s="1"/>
  <c r="D1773" i="13" s="1"/>
  <c r="H1915" i="20"/>
  <c r="H1291" i="20"/>
  <c r="H1114" i="20"/>
  <c r="I222" i="20"/>
  <c r="E135" i="20"/>
  <c r="F135" i="20" s="1"/>
  <c r="D136" i="20" s="1"/>
  <c r="H1339" i="13"/>
  <c r="I1339" i="13"/>
  <c r="H301" i="13"/>
  <c r="I301" i="13"/>
  <c r="H823" i="13"/>
  <c r="I823" i="13"/>
  <c r="H1770" i="13"/>
  <c r="I1770" i="13"/>
  <c r="E394" i="13"/>
  <c r="F394" i="13" s="1"/>
  <c r="D395" i="13" s="1"/>
  <c r="E997" i="13"/>
  <c r="F997" i="13" s="1"/>
  <c r="E1115" i="20"/>
  <c r="F1115" i="20" s="1"/>
  <c r="D1116" i="20" s="1"/>
  <c r="H643" i="13"/>
  <c r="I643" i="13"/>
  <c r="H1024" i="20"/>
  <c r="J130" i="13"/>
  <c r="I1290" i="20"/>
  <c r="H908" i="13"/>
  <c r="I908" i="13"/>
  <c r="G996" i="13"/>
  <c r="G739" i="13"/>
  <c r="H489" i="20"/>
  <c r="G1915" i="20"/>
  <c r="G1291" i="20"/>
  <c r="G1114" i="20"/>
  <c r="E223" i="20"/>
  <c r="F223" i="20" s="1"/>
  <c r="D224" i="20" s="1"/>
  <c r="E404" i="20"/>
  <c r="F404" i="20" s="1"/>
  <c r="E1340" i="13"/>
  <c r="F1340" i="13" s="1"/>
  <c r="D1341" i="13" s="1"/>
  <c r="E1473" i="20"/>
  <c r="F1473" i="20" s="1"/>
  <c r="E302" i="13"/>
  <c r="F302" i="13" s="1"/>
  <c r="D303" i="13" s="1"/>
  <c r="E824" i="13"/>
  <c r="F824" i="13" s="1"/>
  <c r="I572" i="13" l="1"/>
  <c r="J572" i="13" s="1"/>
  <c r="I1771" i="13"/>
  <c r="H1859" i="13"/>
  <c r="J1859" i="13" s="1"/>
  <c r="H1858" i="13"/>
  <c r="J1858" i="13" s="1"/>
  <c r="I489" i="20"/>
  <c r="I1024" i="20"/>
  <c r="D1945" i="13"/>
  <c r="E1945" i="13" s="1"/>
  <c r="F1945" i="13" s="1"/>
  <c r="G1944" i="13"/>
  <c r="H1944" i="13" s="1"/>
  <c r="D2007" i="20"/>
  <c r="E2007" i="20" s="1"/>
  <c r="F2007" i="20" s="1"/>
  <c r="H2006" i="20"/>
  <c r="G2006" i="20"/>
  <c r="D338" i="2"/>
  <c r="B195" i="2"/>
  <c r="G1512" i="13"/>
  <c r="H1512" i="13" s="1"/>
  <c r="J1511" i="13"/>
  <c r="E199" i="2"/>
  <c r="D1917" i="20"/>
  <c r="E1917" i="20" s="1"/>
  <c r="F1917" i="20" s="1"/>
  <c r="G1916" i="20"/>
  <c r="D405" i="20"/>
  <c r="E405" i="20" s="1"/>
  <c r="F405" i="20" s="1"/>
  <c r="G404" i="20"/>
  <c r="G1340" i="13"/>
  <c r="H1340" i="13" s="1"/>
  <c r="F574" i="13"/>
  <c r="D575" i="13" s="1"/>
  <c r="I1512" i="13"/>
  <c r="G302" i="13"/>
  <c r="I302" i="13" s="1"/>
  <c r="E1513" i="13"/>
  <c r="F1513" i="13" s="1"/>
  <c r="H1081" i="13"/>
  <c r="I1081" i="13"/>
  <c r="H404" i="20"/>
  <c r="G1115" i="20"/>
  <c r="G573" i="13"/>
  <c r="E1082" i="13"/>
  <c r="F1082" i="13" s="1"/>
  <c r="J1166" i="13"/>
  <c r="I1738" i="20"/>
  <c r="J738" i="13"/>
  <c r="J1770" i="13"/>
  <c r="J301" i="13"/>
  <c r="J1252" i="13"/>
  <c r="J1771" i="13"/>
  <c r="J475" i="13"/>
  <c r="J908" i="13"/>
  <c r="J1597" i="13"/>
  <c r="I672" i="20"/>
  <c r="I1205" i="20"/>
  <c r="D477" i="13"/>
  <c r="G476" i="13"/>
  <c r="D1293" i="20"/>
  <c r="H1292" i="20"/>
  <c r="G1292" i="20"/>
  <c r="D998" i="13"/>
  <c r="G997" i="13"/>
  <c r="D1830" i="20"/>
  <c r="G1829" i="20"/>
  <c r="H1829" i="20"/>
  <c r="D1168" i="13"/>
  <c r="G1167" i="13"/>
  <c r="D1254" i="13"/>
  <c r="G1253" i="13"/>
  <c r="D825" i="13"/>
  <c r="G824" i="13"/>
  <c r="D1474" i="20"/>
  <c r="G1473" i="20"/>
  <c r="H1473" i="20"/>
  <c r="D848" i="20"/>
  <c r="G847" i="20"/>
  <c r="H847" i="20"/>
  <c r="D2008" i="20"/>
  <c r="D491" i="20"/>
  <c r="H490" i="20"/>
  <c r="G490" i="20"/>
  <c r="D939" i="20"/>
  <c r="G938" i="20"/>
  <c r="H938" i="20"/>
  <c r="E224" i="20"/>
  <c r="F224" i="20" s="1"/>
  <c r="E1566" i="20"/>
  <c r="F1566" i="20" s="1"/>
  <c r="D1567" i="20" s="1"/>
  <c r="E314" i="20"/>
  <c r="F314" i="20" s="1"/>
  <c r="D315" i="20" s="1"/>
  <c r="H393" i="13"/>
  <c r="I393" i="13"/>
  <c r="E673" i="20"/>
  <c r="F673" i="20" s="1"/>
  <c r="I1649" i="20"/>
  <c r="E1206" i="20"/>
  <c r="F1206" i="20" s="1"/>
  <c r="D1207" i="20" s="1"/>
  <c r="E762" i="20"/>
  <c r="F762" i="20" s="1"/>
  <c r="H909" i="13"/>
  <c r="I909" i="13"/>
  <c r="E214" i="13"/>
  <c r="F214" i="13" s="1"/>
  <c r="D215" i="13" s="1"/>
  <c r="H739" i="13"/>
  <c r="I739" i="13"/>
  <c r="E395" i="13"/>
  <c r="F395" i="13" s="1"/>
  <c r="E136" i="20"/>
  <c r="F136" i="20" s="1"/>
  <c r="H1943" i="13"/>
  <c r="I1943" i="13"/>
  <c r="I1828" i="20"/>
  <c r="H213" i="13"/>
  <c r="I213" i="13"/>
  <c r="E1773" i="13"/>
  <c r="F1773" i="13" s="1"/>
  <c r="E303" i="13"/>
  <c r="F303" i="13" s="1"/>
  <c r="E1341" i="13"/>
  <c r="F1341" i="13" s="1"/>
  <c r="D1342" i="13" s="1"/>
  <c r="H223" i="20"/>
  <c r="G135" i="20"/>
  <c r="I1114" i="20"/>
  <c r="G1772" i="13"/>
  <c r="H1565" i="20"/>
  <c r="H1025" i="20"/>
  <c r="G740" i="13"/>
  <c r="H1685" i="13"/>
  <c r="I1685" i="13"/>
  <c r="E1650" i="20"/>
  <c r="F1650" i="20" s="1"/>
  <c r="H1424" i="13"/>
  <c r="I1424" i="13"/>
  <c r="E1739" i="20"/>
  <c r="F1739" i="20" s="1"/>
  <c r="E910" i="13"/>
  <c r="F910" i="13" s="1"/>
  <c r="I1382" i="20"/>
  <c r="H131" i="13"/>
  <c r="I131" i="13"/>
  <c r="I1915" i="20"/>
  <c r="E1600" i="13"/>
  <c r="F1600" i="13" s="1"/>
  <c r="E1861" i="13"/>
  <c r="F1861" i="13" s="1"/>
  <c r="D1862" i="13" s="1"/>
  <c r="E1026" i="20"/>
  <c r="F1026" i="20" s="1"/>
  <c r="D1027" i="20" s="1"/>
  <c r="E741" i="13"/>
  <c r="F741" i="13" s="1"/>
  <c r="E645" i="13"/>
  <c r="F645" i="13" s="1"/>
  <c r="H996" i="13"/>
  <c r="I996" i="13"/>
  <c r="E1116" i="20"/>
  <c r="F1116" i="20" s="1"/>
  <c r="H135" i="20"/>
  <c r="G223" i="20"/>
  <c r="J643" i="13"/>
  <c r="H1115" i="20"/>
  <c r="G394" i="13"/>
  <c r="J823" i="13"/>
  <c r="J1339" i="13"/>
  <c r="I1291" i="20"/>
  <c r="H1598" i="13"/>
  <c r="I1598" i="13"/>
  <c r="H1916" i="20"/>
  <c r="G1565" i="20"/>
  <c r="G1599" i="13"/>
  <c r="J1942" i="13"/>
  <c r="G1860" i="13"/>
  <c r="I1564" i="20"/>
  <c r="G1025" i="20"/>
  <c r="E1686" i="13"/>
  <c r="F1686" i="13" s="1"/>
  <c r="E1425" i="13"/>
  <c r="F1425" i="13" s="1"/>
  <c r="D1426" i="13" s="1"/>
  <c r="I761" i="20"/>
  <c r="I313" i="20"/>
  <c r="H644" i="13"/>
  <c r="I644" i="13"/>
  <c r="E1383" i="20"/>
  <c r="F1383" i="20" s="1"/>
  <c r="E132" i="13"/>
  <c r="F132" i="13" s="1"/>
  <c r="H302" i="13" l="1"/>
  <c r="I1944" i="13"/>
  <c r="I1340" i="13"/>
  <c r="J1340" i="13" s="1"/>
  <c r="H2007" i="20"/>
  <c r="G2007" i="20"/>
  <c r="I1115" i="20"/>
  <c r="I404" i="20"/>
  <c r="I2006" i="20"/>
  <c r="I1916" i="20"/>
  <c r="B196" i="2"/>
  <c r="E200" i="2"/>
  <c r="D1083" i="13"/>
  <c r="E1083" i="13" s="1"/>
  <c r="F1083" i="13" s="1"/>
  <c r="D1084" i="13" s="1"/>
  <c r="G1082" i="13"/>
  <c r="H1082" i="13" s="1"/>
  <c r="J1081" i="13"/>
  <c r="J1512" i="13"/>
  <c r="G574" i="13"/>
  <c r="H574" i="13" s="1"/>
  <c r="D1918" i="20"/>
  <c r="E1918" i="20" s="1"/>
  <c r="F1918" i="20" s="1"/>
  <c r="D1919" i="20" s="1"/>
  <c r="G1917" i="20"/>
  <c r="D1514" i="13"/>
  <c r="G1513" i="13"/>
  <c r="D1384" i="20"/>
  <c r="E1384" i="20" s="1"/>
  <c r="F1384" i="20" s="1"/>
  <c r="D1385" i="20" s="1"/>
  <c r="H1383" i="20"/>
  <c r="D1117" i="20"/>
  <c r="H1116" i="20"/>
  <c r="H573" i="13"/>
  <c r="I573" i="13"/>
  <c r="F575" i="13"/>
  <c r="D576" i="13" s="1"/>
  <c r="I938" i="20"/>
  <c r="I1473" i="20"/>
  <c r="I1292" i="20"/>
  <c r="J644" i="13"/>
  <c r="I135" i="20"/>
  <c r="J739" i="13"/>
  <c r="J1944" i="13"/>
  <c r="I847" i="20"/>
  <c r="I1829" i="20"/>
  <c r="D225" i="20"/>
  <c r="G224" i="20"/>
  <c r="H224" i="20"/>
  <c r="D646" i="13"/>
  <c r="G645" i="13"/>
  <c r="D742" i="13"/>
  <c r="G741" i="13"/>
  <c r="D911" i="13"/>
  <c r="G910" i="13"/>
  <c r="D1651" i="20"/>
  <c r="H1650" i="20"/>
  <c r="G1650" i="20"/>
  <c r="D406" i="20"/>
  <c r="H405" i="20"/>
  <c r="G405" i="20"/>
  <c r="D1946" i="13"/>
  <c r="G1945" i="13"/>
  <c r="D1774" i="13"/>
  <c r="G1773" i="13"/>
  <c r="D396" i="13"/>
  <c r="G395" i="13"/>
  <c r="D133" i="13"/>
  <c r="G132" i="13"/>
  <c r="D304" i="13"/>
  <c r="G303" i="13"/>
  <c r="D1687" i="13"/>
  <c r="G1686" i="13"/>
  <c r="D1601" i="13"/>
  <c r="G1600" i="13"/>
  <c r="D1740" i="20"/>
  <c r="G1739" i="20"/>
  <c r="H1739" i="20"/>
  <c r="D137" i="20"/>
  <c r="H136" i="20"/>
  <c r="G136" i="20"/>
  <c r="D763" i="20"/>
  <c r="G762" i="20"/>
  <c r="H762" i="20"/>
  <c r="D674" i="20"/>
  <c r="G673" i="20"/>
  <c r="H673" i="20"/>
  <c r="E1426" i="13"/>
  <c r="F1426" i="13" s="1"/>
  <c r="D1427" i="13" s="1"/>
  <c r="E1027" i="20"/>
  <c r="F1027" i="20" s="1"/>
  <c r="E1342" i="13"/>
  <c r="F1342" i="13" s="1"/>
  <c r="E315" i="20"/>
  <c r="F315" i="20" s="1"/>
  <c r="D316" i="20" s="1"/>
  <c r="H824" i="13"/>
  <c r="I824" i="13"/>
  <c r="G1383" i="20"/>
  <c r="G1425" i="13"/>
  <c r="H1860" i="13"/>
  <c r="I1860" i="13"/>
  <c r="G1116" i="20"/>
  <c r="J302" i="13"/>
  <c r="J1424" i="13"/>
  <c r="I1025" i="20"/>
  <c r="J213" i="13"/>
  <c r="J1943" i="13"/>
  <c r="G214" i="13"/>
  <c r="H1206" i="20"/>
  <c r="H314" i="20"/>
  <c r="H1566" i="20"/>
  <c r="I490" i="20"/>
  <c r="E2008" i="20"/>
  <c r="F2008" i="20" s="1"/>
  <c r="E825" i="13"/>
  <c r="F825" i="13" s="1"/>
  <c r="E1168" i="13"/>
  <c r="F1168" i="13" s="1"/>
  <c r="H997" i="13"/>
  <c r="I997" i="13"/>
  <c r="E1293" i="20"/>
  <c r="F1293" i="20" s="1"/>
  <c r="E1862" i="13"/>
  <c r="F1862" i="13" s="1"/>
  <c r="H740" i="13"/>
  <c r="I740" i="13"/>
  <c r="E215" i="13"/>
  <c r="F215" i="13" s="1"/>
  <c r="D216" i="13" s="1"/>
  <c r="E1207" i="20"/>
  <c r="F1207" i="20" s="1"/>
  <c r="E1567" i="20"/>
  <c r="F1567" i="20" s="1"/>
  <c r="D1568" i="20" s="1"/>
  <c r="E848" i="20"/>
  <c r="F848" i="20" s="1"/>
  <c r="H1167" i="13"/>
  <c r="I1167" i="13"/>
  <c r="E1830" i="20"/>
  <c r="F1830" i="20" s="1"/>
  <c r="J1598" i="13"/>
  <c r="J996" i="13"/>
  <c r="H1026" i="20"/>
  <c r="G1861" i="13"/>
  <c r="I1565" i="20"/>
  <c r="G1341" i="13"/>
  <c r="G1206" i="20"/>
  <c r="G314" i="20"/>
  <c r="G1566" i="20"/>
  <c r="E491" i="20"/>
  <c r="F491" i="20" s="1"/>
  <c r="H1253" i="13"/>
  <c r="I1253" i="13"/>
  <c r="E998" i="13"/>
  <c r="F998" i="13" s="1"/>
  <c r="D999" i="13" s="1"/>
  <c r="H476" i="13"/>
  <c r="I476" i="13"/>
  <c r="H1599" i="13"/>
  <c r="I1599" i="13"/>
  <c r="H394" i="13"/>
  <c r="I394" i="13"/>
  <c r="E1117" i="20"/>
  <c r="F1117" i="20" s="1"/>
  <c r="D1118" i="20" s="1"/>
  <c r="G1026" i="20"/>
  <c r="J131" i="13"/>
  <c r="J1685" i="13"/>
  <c r="H1772" i="13"/>
  <c r="I1772" i="13"/>
  <c r="I223" i="20"/>
  <c r="J909" i="13"/>
  <c r="H1917" i="20"/>
  <c r="J393" i="13"/>
  <c r="E939" i="20"/>
  <c r="F939" i="20" s="1"/>
  <c r="E1474" i="20"/>
  <c r="F1474" i="20" s="1"/>
  <c r="D1475" i="20" s="1"/>
  <c r="E1254" i="13"/>
  <c r="F1254" i="13" s="1"/>
  <c r="D1255" i="13" s="1"/>
  <c r="E477" i="13"/>
  <c r="F477" i="13" s="1"/>
  <c r="D478" i="13" s="1"/>
  <c r="I574" i="13" l="1"/>
  <c r="J574" i="13" s="1"/>
  <c r="I2007" i="20"/>
  <c r="I1082" i="13"/>
  <c r="J1082" i="13" s="1"/>
  <c r="I1116" i="20"/>
  <c r="I1917" i="20"/>
  <c r="I1383" i="20"/>
  <c r="D2009" i="20"/>
  <c r="E2009" i="20" s="1"/>
  <c r="F2009" i="20" s="1"/>
  <c r="G2008" i="20"/>
  <c r="B198" i="2"/>
  <c r="E201" i="2"/>
  <c r="J573" i="13"/>
  <c r="G1083" i="13"/>
  <c r="H1083" i="13" s="1"/>
  <c r="D1863" i="13"/>
  <c r="E1863" i="13" s="1"/>
  <c r="F1863" i="13" s="1"/>
  <c r="D1864" i="13" s="1"/>
  <c r="G1862" i="13"/>
  <c r="I1862" i="13" s="1"/>
  <c r="D492" i="20"/>
  <c r="E492" i="20" s="1"/>
  <c r="F492" i="20" s="1"/>
  <c r="D493" i="20" s="1"/>
  <c r="G491" i="20"/>
  <c r="D826" i="13"/>
  <c r="E826" i="13" s="1"/>
  <c r="F826" i="13" s="1"/>
  <c r="D827" i="13" s="1"/>
  <c r="G825" i="13"/>
  <c r="H825" i="13" s="1"/>
  <c r="D1343" i="13"/>
  <c r="E1343" i="13" s="1"/>
  <c r="F1343" i="13" s="1"/>
  <c r="G1342" i="13"/>
  <c r="H1342" i="13" s="1"/>
  <c r="D1169" i="13"/>
  <c r="E1169" i="13" s="1"/>
  <c r="F1169" i="13" s="1"/>
  <c r="G1168" i="13"/>
  <c r="H1168" i="13" s="1"/>
  <c r="D1028" i="20"/>
  <c r="G1027" i="20"/>
  <c r="G315" i="20"/>
  <c r="I1513" i="13"/>
  <c r="H1513" i="13"/>
  <c r="E1084" i="13"/>
  <c r="F1084" i="13" s="1"/>
  <c r="E1514" i="13"/>
  <c r="F1514" i="13" s="1"/>
  <c r="D1515" i="13" s="1"/>
  <c r="F576" i="13"/>
  <c r="D577" i="13" s="1"/>
  <c r="G1474" i="20"/>
  <c r="H315" i="20"/>
  <c r="G575" i="13"/>
  <c r="J476" i="13"/>
  <c r="I1739" i="20"/>
  <c r="J1772" i="13"/>
  <c r="J1860" i="13"/>
  <c r="I224" i="20"/>
  <c r="J1167" i="13"/>
  <c r="J740" i="13"/>
  <c r="J1253" i="13"/>
  <c r="I1566" i="20"/>
  <c r="J824" i="13"/>
  <c r="J1599" i="13"/>
  <c r="I762" i="20"/>
  <c r="D1294" i="20"/>
  <c r="H1293" i="20"/>
  <c r="G1293" i="20"/>
  <c r="D849" i="20"/>
  <c r="G848" i="20"/>
  <c r="H848" i="20"/>
  <c r="D1831" i="20"/>
  <c r="G1830" i="20"/>
  <c r="H1830" i="20"/>
  <c r="D1208" i="20"/>
  <c r="G1207" i="20"/>
  <c r="H1207" i="20"/>
  <c r="D940" i="20"/>
  <c r="H939" i="20"/>
  <c r="G939" i="20"/>
  <c r="H1861" i="13"/>
  <c r="I1861" i="13"/>
  <c r="E1568" i="20"/>
  <c r="F1568" i="20" s="1"/>
  <c r="D1569" i="20" s="1"/>
  <c r="E763" i="20"/>
  <c r="F763" i="20" s="1"/>
  <c r="E911" i="13"/>
  <c r="F911" i="13" s="1"/>
  <c r="D912" i="13" s="1"/>
  <c r="I1026" i="20"/>
  <c r="I314" i="20"/>
  <c r="E674" i="20"/>
  <c r="F674" i="20" s="1"/>
  <c r="D675" i="20" s="1"/>
  <c r="H1686" i="13"/>
  <c r="I1686" i="13"/>
  <c r="H132" i="13"/>
  <c r="I132" i="13"/>
  <c r="H1773" i="13"/>
  <c r="I1773" i="13"/>
  <c r="I1650" i="20"/>
  <c r="H741" i="13"/>
  <c r="I741" i="13"/>
  <c r="E1118" i="20"/>
  <c r="F1118" i="20" s="1"/>
  <c r="E1385" i="20"/>
  <c r="F1385" i="20" s="1"/>
  <c r="D1386" i="20" s="1"/>
  <c r="H1341" i="13"/>
  <c r="I1341" i="13"/>
  <c r="E216" i="13"/>
  <c r="F216" i="13" s="1"/>
  <c r="D217" i="13" s="1"/>
  <c r="E1601" i="13"/>
  <c r="F1601" i="13" s="1"/>
  <c r="E396" i="13"/>
  <c r="F396" i="13" s="1"/>
  <c r="D397" i="13" s="1"/>
  <c r="E646" i="13"/>
  <c r="F646" i="13" s="1"/>
  <c r="D647" i="13" s="1"/>
  <c r="E478" i="13"/>
  <c r="F478" i="13" s="1"/>
  <c r="E1475" i="20"/>
  <c r="F1475" i="20" s="1"/>
  <c r="D1476" i="20" s="1"/>
  <c r="G477" i="13"/>
  <c r="G1254" i="13"/>
  <c r="H1117" i="20"/>
  <c r="J394" i="13"/>
  <c r="H1384" i="20"/>
  <c r="H1567" i="20"/>
  <c r="H1918" i="20"/>
  <c r="I1206" i="20"/>
  <c r="E316" i="20"/>
  <c r="F316" i="20" s="1"/>
  <c r="D317" i="20" s="1"/>
  <c r="I136" i="20"/>
  <c r="E1740" i="20"/>
  <c r="F1740" i="20" s="1"/>
  <c r="D1741" i="20" s="1"/>
  <c r="E1687" i="13"/>
  <c r="F1687" i="13" s="1"/>
  <c r="E133" i="13"/>
  <c r="F133" i="13" s="1"/>
  <c r="D134" i="13" s="1"/>
  <c r="E1774" i="13"/>
  <c r="F1774" i="13" s="1"/>
  <c r="D1775" i="13" s="1"/>
  <c r="I405" i="20"/>
  <c r="E1651" i="20"/>
  <c r="F1651" i="20" s="1"/>
  <c r="E742" i="13"/>
  <c r="F742" i="13" s="1"/>
  <c r="E1255" i="13"/>
  <c r="F1255" i="13" s="1"/>
  <c r="E999" i="13"/>
  <c r="F999" i="13" s="1"/>
  <c r="D1000" i="13" s="1"/>
  <c r="E1919" i="20"/>
  <c r="F1919" i="20" s="1"/>
  <c r="H1425" i="13"/>
  <c r="I1425" i="13"/>
  <c r="E1427" i="13"/>
  <c r="F1427" i="13" s="1"/>
  <c r="E304" i="13"/>
  <c r="F304" i="13" s="1"/>
  <c r="D305" i="13" s="1"/>
  <c r="E1946" i="13"/>
  <c r="F1946" i="13" s="1"/>
  <c r="D1947" i="13" s="1"/>
  <c r="H1474" i="20"/>
  <c r="G1117" i="20"/>
  <c r="G1384" i="20"/>
  <c r="G998" i="13"/>
  <c r="H491" i="20"/>
  <c r="G1567" i="20"/>
  <c r="G215" i="13"/>
  <c r="J997" i="13"/>
  <c r="H2008" i="20"/>
  <c r="G1918" i="20"/>
  <c r="H214" i="13"/>
  <c r="I214" i="13"/>
  <c r="H1027" i="20"/>
  <c r="G1426" i="13"/>
  <c r="I673" i="20"/>
  <c r="E137" i="20"/>
  <c r="F137" i="20" s="1"/>
  <c r="D138" i="20" s="1"/>
  <c r="H1600" i="13"/>
  <c r="I1600" i="13"/>
  <c r="H303" i="13"/>
  <c r="I303" i="13"/>
  <c r="H395" i="13"/>
  <c r="I395" i="13"/>
  <c r="H1945" i="13"/>
  <c r="I1945" i="13"/>
  <c r="E406" i="20"/>
  <c r="F406" i="20" s="1"/>
  <c r="D407" i="20" s="1"/>
  <c r="H910" i="13"/>
  <c r="I910" i="13"/>
  <c r="H645" i="13"/>
  <c r="I645" i="13"/>
  <c r="E225" i="20"/>
  <c r="F225" i="20" s="1"/>
  <c r="I825" i="13" l="1"/>
  <c r="H1862" i="13"/>
  <c r="J1862" i="13" s="1"/>
  <c r="E1028" i="20"/>
  <c r="F1028" i="20" s="1"/>
  <c r="I1168" i="13"/>
  <c r="J1168" i="13" s="1"/>
  <c r="I315" i="20"/>
  <c r="I1342" i="13"/>
  <c r="J1342" i="13" s="1"/>
  <c r="I1083" i="13"/>
  <c r="J1083" i="13" s="1"/>
  <c r="I1027" i="20"/>
  <c r="I2008" i="20"/>
  <c r="I491" i="20"/>
  <c r="I1474" i="20"/>
  <c r="G576" i="13"/>
  <c r="H576" i="13" s="1"/>
  <c r="B199" i="2"/>
  <c r="B200" i="2" s="1"/>
  <c r="B201" i="2" s="1"/>
  <c r="B203" i="2" s="1"/>
  <c r="E203" i="2"/>
  <c r="G911" i="13"/>
  <c r="I911" i="13" s="1"/>
  <c r="G1514" i="13"/>
  <c r="H1514" i="13" s="1"/>
  <c r="J1513" i="13"/>
  <c r="D479" i="13"/>
  <c r="E479" i="13" s="1"/>
  <c r="F479" i="13" s="1"/>
  <c r="D480" i="13" s="1"/>
  <c r="G478" i="13"/>
  <c r="H478" i="13" s="1"/>
  <c r="D1652" i="20"/>
  <c r="E1652" i="20" s="1"/>
  <c r="F1652" i="20" s="1"/>
  <c r="H1651" i="20"/>
  <c r="G1568" i="20"/>
  <c r="D1170" i="13"/>
  <c r="E1170" i="13" s="1"/>
  <c r="F1170" i="13" s="1"/>
  <c r="G1169" i="13"/>
  <c r="H1169" i="13" s="1"/>
  <c r="D1085" i="13"/>
  <c r="G1084" i="13"/>
  <c r="D1256" i="13"/>
  <c r="E1256" i="13" s="1"/>
  <c r="F1256" i="13" s="1"/>
  <c r="G1255" i="13"/>
  <c r="H1255" i="13" s="1"/>
  <c r="G304" i="13"/>
  <c r="I304" i="13" s="1"/>
  <c r="G1651" i="20"/>
  <c r="G316" i="20"/>
  <c r="I575" i="13"/>
  <c r="H575" i="13"/>
  <c r="F577" i="13"/>
  <c r="G577" i="13" s="1"/>
  <c r="G396" i="13"/>
  <c r="H396" i="13" s="1"/>
  <c r="E1515" i="13"/>
  <c r="F1515" i="13" s="1"/>
  <c r="D1516" i="13" s="1"/>
  <c r="E1516" i="13" s="1"/>
  <c r="F1516" i="13" s="1"/>
  <c r="D1517" i="13" s="1"/>
  <c r="J645" i="13"/>
  <c r="I1918" i="20"/>
  <c r="I1567" i="20"/>
  <c r="J1773" i="13"/>
  <c r="J1686" i="13"/>
  <c r="I848" i="20"/>
  <c r="J214" i="13"/>
  <c r="J1945" i="13"/>
  <c r="J303" i="13"/>
  <c r="J825" i="13"/>
  <c r="J1341" i="13"/>
  <c r="J132" i="13"/>
  <c r="I1207" i="20"/>
  <c r="I1117" i="20"/>
  <c r="J741" i="13"/>
  <c r="D1344" i="13"/>
  <c r="G1343" i="13"/>
  <c r="D1688" i="13"/>
  <c r="G1687" i="13"/>
  <c r="D1602" i="13"/>
  <c r="G1601" i="13"/>
  <c r="D2010" i="20"/>
  <c r="G2009" i="20"/>
  <c r="H2009" i="20"/>
  <c r="D1428" i="13"/>
  <c r="G1427" i="13"/>
  <c r="D1119" i="20"/>
  <c r="G1118" i="20"/>
  <c r="H1118" i="20"/>
  <c r="D226" i="20"/>
  <c r="G225" i="20"/>
  <c r="H225" i="20"/>
  <c r="D764" i="20"/>
  <c r="G763" i="20"/>
  <c r="H763" i="20"/>
  <c r="D1920" i="20"/>
  <c r="G1919" i="20"/>
  <c r="H1919" i="20"/>
  <c r="D743" i="13"/>
  <c r="G742" i="13"/>
  <c r="E138" i="20"/>
  <c r="F138" i="20" s="1"/>
  <c r="E1947" i="13"/>
  <c r="F1947" i="13" s="1"/>
  <c r="D1948" i="13" s="1"/>
  <c r="E675" i="20"/>
  <c r="F675" i="20" s="1"/>
  <c r="E827" i="13"/>
  <c r="F827" i="13" s="1"/>
  <c r="D828" i="13" s="1"/>
  <c r="H492" i="20"/>
  <c r="H1475" i="20"/>
  <c r="E397" i="13"/>
  <c r="F397" i="13" s="1"/>
  <c r="E217" i="13"/>
  <c r="F217" i="13" s="1"/>
  <c r="E1569" i="20"/>
  <c r="F1569" i="20" s="1"/>
  <c r="D1570" i="20" s="1"/>
  <c r="E1831" i="20"/>
  <c r="F1831" i="20" s="1"/>
  <c r="H998" i="13"/>
  <c r="I998" i="13"/>
  <c r="E1741" i="20"/>
  <c r="F1741" i="20" s="1"/>
  <c r="E1864" i="13"/>
  <c r="F1864" i="13" s="1"/>
  <c r="E1476" i="20"/>
  <c r="F1476" i="20" s="1"/>
  <c r="E849" i="20"/>
  <c r="F849" i="20" s="1"/>
  <c r="H406" i="20"/>
  <c r="E1775" i="13"/>
  <c r="F1775" i="13" s="1"/>
  <c r="G406" i="20"/>
  <c r="G137" i="20"/>
  <c r="H1426" i="13"/>
  <c r="I1426" i="13"/>
  <c r="E305" i="13"/>
  <c r="F305" i="13" s="1"/>
  <c r="D306" i="13" s="1"/>
  <c r="H1740" i="20"/>
  <c r="H1254" i="13"/>
  <c r="I1254" i="13"/>
  <c r="G492" i="20"/>
  <c r="G1475" i="20"/>
  <c r="G646" i="13"/>
  <c r="H1385" i="20"/>
  <c r="H674" i="20"/>
  <c r="E912" i="13"/>
  <c r="F912" i="13" s="1"/>
  <c r="D913" i="13" s="1"/>
  <c r="I939" i="20"/>
  <c r="E1208" i="20"/>
  <c r="F1208" i="20" s="1"/>
  <c r="I1293" i="20"/>
  <c r="E407" i="20"/>
  <c r="F407" i="20" s="1"/>
  <c r="E134" i="13"/>
  <c r="F134" i="13" s="1"/>
  <c r="E493" i="20"/>
  <c r="F493" i="20" s="1"/>
  <c r="E647" i="13"/>
  <c r="F647" i="13" s="1"/>
  <c r="E1386" i="20"/>
  <c r="F1386" i="20" s="1"/>
  <c r="H137" i="20"/>
  <c r="H215" i="13"/>
  <c r="I215" i="13"/>
  <c r="E1000" i="13"/>
  <c r="F1000" i="13" s="1"/>
  <c r="G133" i="13"/>
  <c r="E317" i="20"/>
  <c r="F317" i="20" s="1"/>
  <c r="J910" i="13"/>
  <c r="J395" i="13"/>
  <c r="J1600" i="13"/>
  <c r="G1946" i="13"/>
  <c r="J1425" i="13"/>
  <c r="G999" i="13"/>
  <c r="G1774" i="13"/>
  <c r="G1740" i="20"/>
  <c r="H316" i="20"/>
  <c r="I1384" i="20"/>
  <c r="H477" i="13"/>
  <c r="I477" i="13"/>
  <c r="G1863" i="13"/>
  <c r="G216" i="13"/>
  <c r="G1385" i="20"/>
  <c r="G674" i="20"/>
  <c r="G826" i="13"/>
  <c r="H1568" i="20"/>
  <c r="J1861" i="13"/>
  <c r="E940" i="20"/>
  <c r="F940" i="20" s="1"/>
  <c r="I1830" i="20"/>
  <c r="E1294" i="20"/>
  <c r="F1294" i="20" s="1"/>
  <c r="I576" i="13" l="1"/>
  <c r="I478" i="13"/>
  <c r="H911" i="13"/>
  <c r="J911" i="13" s="1"/>
  <c r="I1169" i="13"/>
  <c r="H304" i="13"/>
  <c r="J304" i="13" s="1"/>
  <c r="D1029" i="20"/>
  <c r="E1029" i="20" s="1"/>
  <c r="F1029" i="20" s="1"/>
  <c r="D1030" i="20" s="1"/>
  <c r="E1030" i="20" s="1"/>
  <c r="F1030" i="20" s="1"/>
  <c r="G1028" i="20"/>
  <c r="H1028" i="20"/>
  <c r="I1255" i="13"/>
  <c r="J1255" i="13" s="1"/>
  <c r="I396" i="13"/>
  <c r="J396" i="13" s="1"/>
  <c r="I1514" i="13"/>
  <c r="J1514" i="13" s="1"/>
  <c r="I1651" i="20"/>
  <c r="I1568" i="20"/>
  <c r="I316" i="20"/>
  <c r="B205" i="2"/>
  <c r="C50" i="20"/>
  <c r="C50" i="13"/>
  <c r="E37" i="2"/>
  <c r="D398" i="13"/>
  <c r="E398" i="13" s="1"/>
  <c r="F398" i="13" s="1"/>
  <c r="G397" i="13"/>
  <c r="H397" i="13" s="1"/>
  <c r="D318" i="20"/>
  <c r="H317" i="20"/>
  <c r="J575" i="13"/>
  <c r="H1084" i="13"/>
  <c r="I1084" i="13"/>
  <c r="G305" i="13"/>
  <c r="I305" i="13" s="1"/>
  <c r="G1516" i="13"/>
  <c r="H1516" i="13" s="1"/>
  <c r="H577" i="13"/>
  <c r="H593" i="13" s="1"/>
  <c r="I577" i="13"/>
  <c r="J576" i="13"/>
  <c r="E1085" i="13"/>
  <c r="F1085" i="13" s="1"/>
  <c r="D1086" i="13" s="1"/>
  <c r="G1947" i="13"/>
  <c r="H1947" i="13" s="1"/>
  <c r="G1515" i="13"/>
  <c r="I763" i="20"/>
  <c r="J215" i="13"/>
  <c r="J998" i="13"/>
  <c r="I406" i="20"/>
  <c r="J478" i="13"/>
  <c r="I1118" i="20"/>
  <c r="I225" i="20"/>
  <c r="I2009" i="20"/>
  <c r="D1209" i="20"/>
  <c r="G1208" i="20"/>
  <c r="H1208" i="20"/>
  <c r="D1295" i="20"/>
  <c r="H1294" i="20"/>
  <c r="G1294" i="20"/>
  <c r="D1653" i="20"/>
  <c r="H1652" i="20"/>
  <c r="G1652" i="20"/>
  <c r="D218" i="13"/>
  <c r="G217" i="13"/>
  <c r="D1865" i="13"/>
  <c r="G1864" i="13"/>
  <c r="D941" i="20"/>
  <c r="G940" i="20"/>
  <c r="H940" i="20"/>
  <c r="D1001" i="13"/>
  <c r="G1000" i="13"/>
  <c r="D1387" i="20"/>
  <c r="G1386" i="20"/>
  <c r="H1386" i="20"/>
  <c r="D408" i="20"/>
  <c r="H407" i="20"/>
  <c r="G407" i="20"/>
  <c r="D1171" i="13"/>
  <c r="G1170" i="13"/>
  <c r="D1776" i="13"/>
  <c r="G1775" i="13"/>
  <c r="D1742" i="20"/>
  <c r="H1741" i="20"/>
  <c r="G1741" i="20"/>
  <c r="D676" i="20"/>
  <c r="H675" i="20"/>
  <c r="G675" i="20"/>
  <c r="D494" i="20"/>
  <c r="H493" i="20"/>
  <c r="G493" i="20"/>
  <c r="D1477" i="20"/>
  <c r="G1476" i="20"/>
  <c r="H1476" i="20"/>
  <c r="D139" i="20"/>
  <c r="G138" i="20"/>
  <c r="H138" i="20"/>
  <c r="D135" i="13"/>
  <c r="G134" i="13"/>
  <c r="D1832" i="20"/>
  <c r="G1831" i="20"/>
  <c r="H1831" i="20"/>
  <c r="D648" i="13"/>
  <c r="G647" i="13"/>
  <c r="D1257" i="13"/>
  <c r="G1256" i="13"/>
  <c r="D850" i="20"/>
  <c r="G849" i="20"/>
  <c r="H849" i="20"/>
  <c r="H1946" i="13"/>
  <c r="I1946" i="13"/>
  <c r="H133" i="13"/>
  <c r="I133" i="13"/>
  <c r="E480" i="13"/>
  <c r="F480" i="13" s="1"/>
  <c r="E828" i="13"/>
  <c r="F828" i="13" s="1"/>
  <c r="E764" i="20"/>
  <c r="F764" i="20" s="1"/>
  <c r="D765" i="20" s="1"/>
  <c r="E1428" i="13"/>
  <c r="F1428" i="13" s="1"/>
  <c r="H1601" i="13"/>
  <c r="I1601" i="13"/>
  <c r="H1863" i="13"/>
  <c r="I1863" i="13"/>
  <c r="H999" i="13"/>
  <c r="I999" i="13"/>
  <c r="G317" i="20"/>
  <c r="G912" i="13"/>
  <c r="I674" i="20"/>
  <c r="J1254" i="13"/>
  <c r="G827" i="13"/>
  <c r="H742" i="13"/>
  <c r="I742" i="13"/>
  <c r="E1920" i="20"/>
  <c r="F1920" i="20" s="1"/>
  <c r="E1602" i="13"/>
  <c r="F1602" i="13" s="1"/>
  <c r="E1344" i="13"/>
  <c r="F1344" i="13" s="1"/>
  <c r="D1345" i="13" s="1"/>
  <c r="H216" i="13"/>
  <c r="I216" i="13"/>
  <c r="E1570" i="20"/>
  <c r="F1570" i="20" s="1"/>
  <c r="H1343" i="13"/>
  <c r="I1343" i="13"/>
  <c r="J477" i="13"/>
  <c r="I137" i="20"/>
  <c r="I1385" i="20"/>
  <c r="G479" i="13"/>
  <c r="I1740" i="20"/>
  <c r="J1426" i="13"/>
  <c r="J1169" i="13"/>
  <c r="H1569" i="20"/>
  <c r="I1475" i="20"/>
  <c r="E1948" i="13"/>
  <c r="F1948" i="13" s="1"/>
  <c r="E743" i="13"/>
  <c r="F743" i="13" s="1"/>
  <c r="D744" i="13" s="1"/>
  <c r="E1119" i="20"/>
  <c r="F1119" i="20" s="1"/>
  <c r="H1687" i="13"/>
  <c r="I1687" i="13"/>
  <c r="H826" i="13"/>
  <c r="I826" i="13"/>
  <c r="H1774" i="13"/>
  <c r="I1774" i="13"/>
  <c r="E318" i="20"/>
  <c r="F318" i="20" s="1"/>
  <c r="E913" i="13"/>
  <c r="F913" i="13" s="1"/>
  <c r="H646" i="13"/>
  <c r="I646" i="13"/>
  <c r="E306" i="13"/>
  <c r="F306" i="13" s="1"/>
  <c r="G1569" i="20"/>
  <c r="I492" i="20"/>
  <c r="I1919" i="20"/>
  <c r="E226" i="20"/>
  <c r="F226" i="20" s="1"/>
  <c r="D227" i="20" s="1"/>
  <c r="H1427" i="13"/>
  <c r="I1427" i="13"/>
  <c r="E2010" i="20"/>
  <c r="F2010" i="20" s="1"/>
  <c r="E1688" i="13"/>
  <c r="F1688" i="13" s="1"/>
  <c r="E1517" i="13"/>
  <c r="F1517" i="13" s="1"/>
  <c r="G1029" i="20" l="1"/>
  <c r="H1029" i="20"/>
  <c r="I1028" i="20"/>
  <c r="I1947" i="13"/>
  <c r="J1947" i="13" s="1"/>
  <c r="I397" i="13"/>
  <c r="J397" i="13" s="1"/>
  <c r="I1516" i="13"/>
  <c r="J1516" i="13" s="1"/>
  <c r="H305" i="13"/>
  <c r="J305" i="13" s="1"/>
  <c r="I317" i="20"/>
  <c r="J577" i="13"/>
  <c r="J1084" i="13"/>
  <c r="B207" i="2"/>
  <c r="C49" i="13"/>
  <c r="C49" i="20"/>
  <c r="E198" i="2"/>
  <c r="D1571" i="20"/>
  <c r="E1571" i="20" s="1"/>
  <c r="F1571" i="20" s="1"/>
  <c r="G1570" i="20"/>
  <c r="D2011" i="20"/>
  <c r="E2011" i="20" s="1"/>
  <c r="F2011" i="20" s="1"/>
  <c r="D2012" i="20" s="1"/>
  <c r="H2010" i="20"/>
  <c r="G2010" i="20"/>
  <c r="D1949" i="13"/>
  <c r="E1949" i="13" s="1"/>
  <c r="F1949" i="13" s="1"/>
  <c r="D1950" i="13" s="1"/>
  <c r="G1948" i="13"/>
  <c r="H1948" i="13" s="1"/>
  <c r="D319" i="20"/>
  <c r="E319" i="20" s="1"/>
  <c r="F319" i="20" s="1"/>
  <c r="G318" i="20"/>
  <c r="D399" i="13"/>
  <c r="E399" i="13" s="1"/>
  <c r="F399" i="13" s="1"/>
  <c r="G398" i="13"/>
  <c r="I398" i="13" s="1"/>
  <c r="D1429" i="13"/>
  <c r="E1429" i="13" s="1"/>
  <c r="F1429" i="13" s="1"/>
  <c r="G1428" i="13"/>
  <c r="I1428" i="13" s="1"/>
  <c r="E1086" i="13"/>
  <c r="F1086" i="13" s="1"/>
  <c r="I593" i="13"/>
  <c r="G764" i="20"/>
  <c r="H1515" i="13"/>
  <c r="I1515" i="13"/>
  <c r="J593" i="13"/>
  <c r="G1085" i="13"/>
  <c r="J742" i="13"/>
  <c r="J1863" i="13"/>
  <c r="I1831" i="20"/>
  <c r="I1476" i="20"/>
  <c r="I940" i="20"/>
  <c r="J826" i="13"/>
  <c r="J1687" i="13"/>
  <c r="J1343" i="13"/>
  <c r="J1427" i="13"/>
  <c r="J133" i="13"/>
  <c r="I849" i="20"/>
  <c r="I138" i="20"/>
  <c r="I1208" i="20"/>
  <c r="I493" i="20"/>
  <c r="I1652" i="20"/>
  <c r="J646" i="13"/>
  <c r="J216" i="13"/>
  <c r="J999" i="13"/>
  <c r="J1601" i="13"/>
  <c r="D1031" i="20"/>
  <c r="G1030" i="20"/>
  <c r="H1030" i="20"/>
  <c r="D914" i="13"/>
  <c r="G913" i="13"/>
  <c r="D307" i="13"/>
  <c r="G306" i="13"/>
  <c r="D1603" i="13"/>
  <c r="G1602" i="13"/>
  <c r="D1689" i="13"/>
  <c r="G1688" i="13"/>
  <c r="D829" i="13"/>
  <c r="G828" i="13"/>
  <c r="D1120" i="20"/>
  <c r="H1119" i="20"/>
  <c r="G1119" i="20"/>
  <c r="D1518" i="13"/>
  <c r="G1517" i="13"/>
  <c r="D1921" i="20"/>
  <c r="G1920" i="20"/>
  <c r="H1920" i="20"/>
  <c r="D481" i="13"/>
  <c r="G480" i="13"/>
  <c r="E744" i="13"/>
  <c r="F744" i="13" s="1"/>
  <c r="D745" i="13" s="1"/>
  <c r="H1256" i="13"/>
  <c r="I1256" i="13"/>
  <c r="E135" i="13"/>
  <c r="F135" i="13" s="1"/>
  <c r="D136" i="13" s="1"/>
  <c r="E1865" i="13"/>
  <c r="F1865" i="13" s="1"/>
  <c r="D1866" i="13" s="1"/>
  <c r="E765" i="20"/>
  <c r="F765" i="20" s="1"/>
  <c r="E1257" i="13"/>
  <c r="F1257" i="13" s="1"/>
  <c r="E494" i="20"/>
  <c r="F494" i="20" s="1"/>
  <c r="E1776" i="13"/>
  <c r="F1776" i="13" s="1"/>
  <c r="I407" i="20"/>
  <c r="E1387" i="20"/>
  <c r="F1387" i="20" s="1"/>
  <c r="H217" i="13"/>
  <c r="I217" i="13"/>
  <c r="E1653" i="20"/>
  <c r="F1653" i="20" s="1"/>
  <c r="D1654" i="20" s="1"/>
  <c r="H398" i="13"/>
  <c r="E1345" i="13"/>
  <c r="F1345" i="13" s="1"/>
  <c r="E676" i="20"/>
  <c r="F676" i="20" s="1"/>
  <c r="D677" i="20" s="1"/>
  <c r="H226" i="20"/>
  <c r="G743" i="13"/>
  <c r="I1569" i="20"/>
  <c r="H827" i="13"/>
  <c r="I827" i="13"/>
  <c r="H647" i="13"/>
  <c r="I647" i="13"/>
  <c r="E1832" i="20"/>
  <c r="F1832" i="20" s="1"/>
  <c r="E1477" i="20"/>
  <c r="F1477" i="20" s="1"/>
  <c r="I1741" i="20"/>
  <c r="H1170" i="13"/>
  <c r="I1170" i="13"/>
  <c r="E408" i="20"/>
  <c r="F408" i="20" s="1"/>
  <c r="H1000" i="13"/>
  <c r="I1000" i="13"/>
  <c r="E941" i="20"/>
  <c r="F941" i="20" s="1"/>
  <c r="E218" i="13"/>
  <c r="F218" i="13" s="1"/>
  <c r="D219" i="13" s="1"/>
  <c r="E227" i="20"/>
  <c r="F227" i="20" s="1"/>
  <c r="D228" i="20" s="1"/>
  <c r="H1775" i="13"/>
  <c r="I1775" i="13"/>
  <c r="E1295" i="20"/>
  <c r="F1295" i="20" s="1"/>
  <c r="G226" i="20"/>
  <c r="H318" i="20"/>
  <c r="J1774" i="13"/>
  <c r="H479" i="13"/>
  <c r="I479" i="13"/>
  <c r="H1570" i="20"/>
  <c r="G1344" i="13"/>
  <c r="H912" i="13"/>
  <c r="I912" i="13"/>
  <c r="H764" i="20"/>
  <c r="J1946" i="13"/>
  <c r="E850" i="20"/>
  <c r="F850" i="20" s="1"/>
  <c r="E648" i="13"/>
  <c r="F648" i="13" s="1"/>
  <c r="H134" i="13"/>
  <c r="I134" i="13"/>
  <c r="E139" i="20"/>
  <c r="F139" i="20" s="1"/>
  <c r="I675" i="20"/>
  <c r="E1742" i="20"/>
  <c r="F1742" i="20" s="1"/>
  <c r="D1743" i="20" s="1"/>
  <c r="E1171" i="13"/>
  <c r="F1171" i="13" s="1"/>
  <c r="I1386" i="20"/>
  <c r="E1001" i="13"/>
  <c r="F1001" i="13" s="1"/>
  <c r="H1864" i="13"/>
  <c r="I1864" i="13"/>
  <c r="I1294" i="20"/>
  <c r="E1209" i="20"/>
  <c r="F1209" i="20" s="1"/>
  <c r="D1210" i="20" s="1"/>
  <c r="H1428" i="13" l="1"/>
  <c r="I1029" i="20"/>
  <c r="I1948" i="13"/>
  <c r="J1948" i="13" s="1"/>
  <c r="I1570" i="20"/>
  <c r="I318" i="20"/>
  <c r="I2010" i="20"/>
  <c r="I764" i="20"/>
  <c r="J1515" i="13"/>
  <c r="B209" i="2"/>
  <c r="D301" i="2"/>
  <c r="D1087" i="13"/>
  <c r="G1086" i="13"/>
  <c r="H1086" i="13" s="1"/>
  <c r="G227" i="20"/>
  <c r="G218" i="13"/>
  <c r="I218" i="13" s="1"/>
  <c r="D1478" i="20"/>
  <c r="G1477" i="20"/>
  <c r="D766" i="20"/>
  <c r="E766" i="20" s="1"/>
  <c r="F766" i="20" s="1"/>
  <c r="G765" i="20"/>
  <c r="H765" i="20"/>
  <c r="D1430" i="13"/>
  <c r="E1430" i="13" s="1"/>
  <c r="F1430" i="13" s="1"/>
  <c r="G1429" i="13"/>
  <c r="H1429" i="13" s="1"/>
  <c r="D1002" i="13"/>
  <c r="E1002" i="13" s="1"/>
  <c r="F1002" i="13" s="1"/>
  <c r="G1001" i="13"/>
  <c r="D1296" i="20"/>
  <c r="E1296" i="20" s="1"/>
  <c r="F1296" i="20" s="1"/>
  <c r="G1295" i="20"/>
  <c r="D140" i="20"/>
  <c r="E140" i="20" s="1"/>
  <c r="F140" i="20" s="1"/>
  <c r="G139" i="20"/>
  <c r="H139" i="20"/>
  <c r="D400" i="13"/>
  <c r="E400" i="13" s="1"/>
  <c r="F400" i="13" s="1"/>
  <c r="G399" i="13"/>
  <c r="I399" i="13" s="1"/>
  <c r="E1087" i="13"/>
  <c r="F1087" i="13" s="1"/>
  <c r="D1088" i="13" s="1"/>
  <c r="G1742" i="20"/>
  <c r="G1653" i="20"/>
  <c r="I1085" i="13"/>
  <c r="H1085" i="13"/>
  <c r="J1170" i="13"/>
  <c r="J1428" i="13"/>
  <c r="J134" i="13"/>
  <c r="J827" i="13"/>
  <c r="J479" i="13"/>
  <c r="J398" i="13"/>
  <c r="J912" i="13"/>
  <c r="I226" i="20"/>
  <c r="J1256" i="13"/>
  <c r="I1920" i="20"/>
  <c r="I1030" i="20"/>
  <c r="D495" i="20"/>
  <c r="G494" i="20"/>
  <c r="H494" i="20"/>
  <c r="D1833" i="20"/>
  <c r="H1832" i="20"/>
  <c r="G1832" i="20"/>
  <c r="D1388" i="20"/>
  <c r="G1387" i="20"/>
  <c r="H1387" i="20"/>
  <c r="D1572" i="20"/>
  <c r="H1571" i="20"/>
  <c r="G1571" i="20"/>
  <c r="D649" i="13"/>
  <c r="G648" i="13"/>
  <c r="D409" i="20"/>
  <c r="G408" i="20"/>
  <c r="H408" i="20"/>
  <c r="D320" i="20"/>
  <c r="H319" i="20"/>
  <c r="G319" i="20"/>
  <c r="D1346" i="13"/>
  <c r="G1345" i="13"/>
  <c r="D1258" i="13"/>
  <c r="G1257" i="13"/>
  <c r="D1172" i="13"/>
  <c r="G1171" i="13"/>
  <c r="D851" i="20"/>
  <c r="G850" i="20"/>
  <c r="H850" i="20"/>
  <c r="D942" i="20"/>
  <c r="G941" i="20"/>
  <c r="H941" i="20"/>
  <c r="D1777" i="13"/>
  <c r="G1776" i="13"/>
  <c r="E1210" i="20"/>
  <c r="F1210" i="20" s="1"/>
  <c r="D1211" i="20" s="1"/>
  <c r="E829" i="13"/>
  <c r="F829" i="13" s="1"/>
  <c r="E1743" i="20"/>
  <c r="F1743" i="20" s="1"/>
  <c r="E1478" i="20"/>
  <c r="F1478" i="20" s="1"/>
  <c r="D1479" i="20" s="1"/>
  <c r="E1654" i="20"/>
  <c r="F1654" i="20" s="1"/>
  <c r="E136" i="13"/>
  <c r="F136" i="13" s="1"/>
  <c r="D137" i="13" s="1"/>
  <c r="G744" i="13"/>
  <c r="E1518" i="13"/>
  <c r="F1518" i="13" s="1"/>
  <c r="I1119" i="20"/>
  <c r="H1688" i="13"/>
  <c r="I1688" i="13"/>
  <c r="H306" i="13"/>
  <c r="I306" i="13"/>
  <c r="H1001" i="13"/>
  <c r="I1001" i="13"/>
  <c r="E1950" i="13"/>
  <c r="F1950" i="13" s="1"/>
  <c r="E2012" i="20"/>
  <c r="F2012" i="20" s="1"/>
  <c r="E1866" i="13"/>
  <c r="F1866" i="13" s="1"/>
  <c r="D1867" i="13" s="1"/>
  <c r="E481" i="13"/>
  <c r="F481" i="13" s="1"/>
  <c r="E1603" i="13"/>
  <c r="F1603" i="13" s="1"/>
  <c r="H1209" i="20"/>
  <c r="E219" i="13"/>
  <c r="F219" i="13" s="1"/>
  <c r="G1209" i="20"/>
  <c r="J1864" i="13"/>
  <c r="G1949" i="13"/>
  <c r="J1000" i="13"/>
  <c r="H2011" i="20"/>
  <c r="H676" i="20"/>
  <c r="G135" i="13"/>
  <c r="E1120" i="20"/>
  <c r="F1120" i="20" s="1"/>
  <c r="D1121" i="20" s="1"/>
  <c r="E1689" i="13"/>
  <c r="F1689" i="13" s="1"/>
  <c r="E307" i="13"/>
  <c r="F307" i="13" s="1"/>
  <c r="D308" i="13" s="1"/>
  <c r="H743" i="13"/>
  <c r="I743" i="13"/>
  <c r="E677" i="20"/>
  <c r="F677" i="20" s="1"/>
  <c r="E745" i="13"/>
  <c r="F745" i="13" s="1"/>
  <c r="H1517" i="13"/>
  <c r="I1517" i="13"/>
  <c r="E914" i="13"/>
  <c r="F914" i="13" s="1"/>
  <c r="D915" i="13" s="1"/>
  <c r="E228" i="20"/>
  <c r="F228" i="20" s="1"/>
  <c r="H1742" i="20"/>
  <c r="H1344" i="13"/>
  <c r="I1344" i="13"/>
  <c r="H1295" i="20"/>
  <c r="J1775" i="13"/>
  <c r="H227" i="20"/>
  <c r="H1477" i="20"/>
  <c r="J647" i="13"/>
  <c r="G2011" i="20"/>
  <c r="G676" i="20"/>
  <c r="H1653" i="20"/>
  <c r="J217" i="13"/>
  <c r="G1865" i="13"/>
  <c r="H480" i="13"/>
  <c r="I480" i="13"/>
  <c r="E1921" i="20"/>
  <c r="F1921" i="20" s="1"/>
  <c r="H828" i="13"/>
  <c r="I828" i="13"/>
  <c r="H1602" i="13"/>
  <c r="I1602" i="13"/>
  <c r="H913" i="13"/>
  <c r="I913" i="13"/>
  <c r="E1031" i="20"/>
  <c r="F1031" i="20" s="1"/>
  <c r="D1032" i="20" s="1"/>
  <c r="I1429" i="13" l="1"/>
  <c r="I1086" i="13"/>
  <c r="J1086" i="13" s="1"/>
  <c r="H399" i="13"/>
  <c r="J399" i="13" s="1"/>
  <c r="I227" i="20"/>
  <c r="H218" i="13"/>
  <c r="J218" i="13" s="1"/>
  <c r="I1295" i="20"/>
  <c r="I1653" i="20"/>
  <c r="I139" i="20"/>
  <c r="I1742" i="20"/>
  <c r="I1477" i="20"/>
  <c r="I765" i="20"/>
  <c r="G1087" i="13"/>
  <c r="H1087" i="13" s="1"/>
  <c r="B211" i="2"/>
  <c r="D211" i="2"/>
  <c r="D141" i="20"/>
  <c r="E141" i="20" s="1"/>
  <c r="F141" i="20" s="1"/>
  <c r="D142" i="20" s="1"/>
  <c r="G140" i="20"/>
  <c r="H140" i="20"/>
  <c r="D1690" i="13"/>
  <c r="E1690" i="13" s="1"/>
  <c r="F1690" i="13" s="1"/>
  <c r="G1689" i="13"/>
  <c r="H1689" i="13" s="1"/>
  <c r="J1085" i="13"/>
  <c r="E1088" i="13"/>
  <c r="F1088" i="13" s="1"/>
  <c r="J1001" i="13"/>
  <c r="J1688" i="13"/>
  <c r="I941" i="20"/>
  <c r="J1429" i="13"/>
  <c r="J743" i="13"/>
  <c r="I676" i="20"/>
  <c r="J913" i="13"/>
  <c r="J828" i="13"/>
  <c r="J480" i="13"/>
  <c r="I494" i="20"/>
  <c r="D2013" i="20"/>
  <c r="G2012" i="20"/>
  <c r="H2012" i="20"/>
  <c r="D229" i="20"/>
  <c r="H228" i="20"/>
  <c r="G228" i="20"/>
  <c r="D1431" i="13"/>
  <c r="G1430" i="13"/>
  <c r="D1297" i="20"/>
  <c r="G1296" i="20"/>
  <c r="H1296" i="20"/>
  <c r="D1655" i="20"/>
  <c r="G1654" i="20"/>
  <c r="H1654" i="20"/>
  <c r="D1003" i="13"/>
  <c r="G1002" i="13"/>
  <c r="D678" i="20"/>
  <c r="G677" i="20"/>
  <c r="H677" i="20"/>
  <c r="D220" i="13"/>
  <c r="G219" i="13"/>
  <c r="D1922" i="20"/>
  <c r="G1921" i="20"/>
  <c r="H1921" i="20"/>
  <c r="D1604" i="13"/>
  <c r="G1603" i="13"/>
  <c r="D1744" i="20"/>
  <c r="G1743" i="20"/>
  <c r="H1743" i="20"/>
  <c r="D482" i="13"/>
  <c r="G481" i="13"/>
  <c r="D830" i="13"/>
  <c r="G829" i="13"/>
  <c r="D746" i="13"/>
  <c r="G745" i="13"/>
  <c r="D767" i="20"/>
  <c r="G766" i="20"/>
  <c r="H766" i="20"/>
  <c r="D1951" i="13"/>
  <c r="G1950" i="13"/>
  <c r="D1519" i="13"/>
  <c r="G1518" i="13"/>
  <c r="D401" i="13"/>
  <c r="G400" i="13"/>
  <c r="E1121" i="20"/>
  <c r="F1121" i="20" s="1"/>
  <c r="D1122" i="20" s="1"/>
  <c r="G307" i="13"/>
  <c r="E1867" i="13"/>
  <c r="F1867" i="13" s="1"/>
  <c r="G136" i="13"/>
  <c r="H1478" i="20"/>
  <c r="E851" i="20"/>
  <c r="F851" i="20" s="1"/>
  <c r="E1258" i="13"/>
  <c r="F1258" i="13" s="1"/>
  <c r="I319" i="20"/>
  <c r="E409" i="20"/>
  <c r="F409" i="20" s="1"/>
  <c r="I1571" i="20"/>
  <c r="E1388" i="20"/>
  <c r="F1388" i="20" s="1"/>
  <c r="D1389" i="20" s="1"/>
  <c r="E1032" i="20"/>
  <c r="F1032" i="20" s="1"/>
  <c r="H1865" i="13"/>
  <c r="I1865" i="13"/>
  <c r="E915" i="13"/>
  <c r="F915" i="13" s="1"/>
  <c r="E308" i="13"/>
  <c r="F308" i="13" s="1"/>
  <c r="H135" i="13"/>
  <c r="I135" i="13"/>
  <c r="H1949" i="13"/>
  <c r="I1949" i="13"/>
  <c r="E1211" i="20"/>
  <c r="F1211" i="20" s="1"/>
  <c r="D1212" i="20" s="1"/>
  <c r="H1031" i="20"/>
  <c r="G1031" i="20"/>
  <c r="J1344" i="13"/>
  <c r="G914" i="13"/>
  <c r="H1120" i="20"/>
  <c r="I2011" i="20"/>
  <c r="I1209" i="20"/>
  <c r="G1866" i="13"/>
  <c r="G1478" i="20"/>
  <c r="H1210" i="20"/>
  <c r="H1776" i="13"/>
  <c r="I1776" i="13"/>
  <c r="E942" i="20"/>
  <c r="F942" i="20" s="1"/>
  <c r="H1171" i="13"/>
  <c r="I1171" i="13"/>
  <c r="H1345" i="13"/>
  <c r="I1345" i="13"/>
  <c r="E320" i="20"/>
  <c r="F320" i="20" s="1"/>
  <c r="H648" i="13"/>
  <c r="I648" i="13"/>
  <c r="E1572" i="20"/>
  <c r="F1572" i="20" s="1"/>
  <c r="D1573" i="20" s="1"/>
  <c r="E137" i="13"/>
  <c r="F137" i="13" s="1"/>
  <c r="E1479" i="20"/>
  <c r="F1479" i="20" s="1"/>
  <c r="H1257" i="13"/>
  <c r="I1257" i="13"/>
  <c r="E1833" i="20"/>
  <c r="F1833" i="20" s="1"/>
  <c r="J1602" i="13"/>
  <c r="J1517" i="13"/>
  <c r="G1120" i="20"/>
  <c r="J306" i="13"/>
  <c r="H744" i="13"/>
  <c r="I744" i="13"/>
  <c r="G1210" i="20"/>
  <c r="E1777" i="13"/>
  <c r="F1777" i="13" s="1"/>
  <c r="I850" i="20"/>
  <c r="E1172" i="13"/>
  <c r="F1172" i="13" s="1"/>
  <c r="E1346" i="13"/>
  <c r="F1346" i="13" s="1"/>
  <c r="D1347" i="13" s="1"/>
  <c r="I408" i="20"/>
  <c r="E649" i="13"/>
  <c r="F649" i="13" s="1"/>
  <c r="I1387" i="20"/>
  <c r="I1832" i="20"/>
  <c r="E495" i="20"/>
  <c r="F495" i="20" s="1"/>
  <c r="I1689" i="13" l="1"/>
  <c r="J1689" i="13" s="1"/>
  <c r="I1087" i="13"/>
  <c r="J1087" i="13" s="1"/>
  <c r="I140" i="20"/>
  <c r="B213" i="2"/>
  <c r="D214" i="2"/>
  <c r="D1033" i="20"/>
  <c r="E1033" i="20" s="1"/>
  <c r="F1033" i="20" s="1"/>
  <c r="G1032" i="20"/>
  <c r="D1778" i="13"/>
  <c r="E1778" i="13" s="1"/>
  <c r="F1778" i="13" s="1"/>
  <c r="G1777" i="13"/>
  <c r="I1777" i="13" s="1"/>
  <c r="D1089" i="13"/>
  <c r="G1088" i="13"/>
  <c r="G1211" i="20"/>
  <c r="G1388" i="20"/>
  <c r="J1345" i="13"/>
  <c r="I766" i="20"/>
  <c r="I1654" i="20"/>
  <c r="J135" i="13"/>
  <c r="J1865" i="13"/>
  <c r="J744" i="13"/>
  <c r="I1478" i="20"/>
  <c r="I1921" i="20"/>
  <c r="J648" i="13"/>
  <c r="J1776" i="13"/>
  <c r="I677" i="20"/>
  <c r="I1296" i="20"/>
  <c r="I2012" i="20"/>
  <c r="D410" i="20"/>
  <c r="G409" i="20"/>
  <c r="H409" i="20"/>
  <c r="D138" i="13"/>
  <c r="G137" i="13"/>
  <c r="D943" i="20"/>
  <c r="H942" i="20"/>
  <c r="G942" i="20"/>
  <c r="D309" i="13"/>
  <c r="G308" i="13"/>
  <c r="D650" i="13"/>
  <c r="G649" i="13"/>
  <c r="D1173" i="13"/>
  <c r="G1172" i="13"/>
  <c r="D916" i="13"/>
  <c r="G915" i="13"/>
  <c r="D1259" i="13"/>
  <c r="G1258" i="13"/>
  <c r="D1868" i="13"/>
  <c r="G1867" i="13"/>
  <c r="D1834" i="20"/>
  <c r="H1833" i="20"/>
  <c r="G1833" i="20"/>
  <c r="D1691" i="13"/>
  <c r="G1690" i="13"/>
  <c r="D496" i="20"/>
  <c r="H495" i="20"/>
  <c r="G495" i="20"/>
  <c r="D1480" i="20"/>
  <c r="G1479" i="20"/>
  <c r="H1479" i="20"/>
  <c r="D321" i="20"/>
  <c r="H320" i="20"/>
  <c r="G320" i="20"/>
  <c r="D852" i="20"/>
  <c r="H851" i="20"/>
  <c r="G851" i="20"/>
  <c r="E142" i="20"/>
  <c r="F142" i="20" s="1"/>
  <c r="H1866" i="13"/>
  <c r="I1866" i="13"/>
  <c r="E1122" i="20"/>
  <c r="F1122" i="20" s="1"/>
  <c r="H1002" i="13"/>
  <c r="I1002" i="13"/>
  <c r="E1655" i="20"/>
  <c r="F1655" i="20" s="1"/>
  <c r="E229" i="20"/>
  <c r="F229" i="20" s="1"/>
  <c r="E1212" i="20"/>
  <c r="F1212" i="20" s="1"/>
  <c r="E1389" i="20"/>
  <c r="F1389" i="20" s="1"/>
  <c r="H136" i="13"/>
  <c r="I136" i="13"/>
  <c r="H307" i="13"/>
  <c r="I307" i="13"/>
  <c r="E1519" i="13"/>
  <c r="F1519" i="13" s="1"/>
  <c r="D1520" i="13" s="1"/>
  <c r="H481" i="13"/>
  <c r="I481" i="13"/>
  <c r="E1744" i="20"/>
  <c r="F1744" i="20" s="1"/>
  <c r="E1003" i="13"/>
  <c r="F1003" i="13" s="1"/>
  <c r="D1004" i="13" s="1"/>
  <c r="E1431" i="13"/>
  <c r="F1431" i="13" s="1"/>
  <c r="D1432" i="13" s="1"/>
  <c r="E1347" i="13"/>
  <c r="F1347" i="13" s="1"/>
  <c r="E1573" i="20"/>
  <c r="F1573" i="20" s="1"/>
  <c r="H914" i="13"/>
  <c r="I914" i="13"/>
  <c r="H1518" i="13"/>
  <c r="I1518" i="13"/>
  <c r="E746" i="13"/>
  <c r="F746" i="13" s="1"/>
  <c r="E220" i="13"/>
  <c r="F220" i="13" s="1"/>
  <c r="D221" i="13" s="1"/>
  <c r="H1430" i="13"/>
  <c r="I1430" i="13"/>
  <c r="H141" i="20"/>
  <c r="H1572" i="20"/>
  <c r="J1171" i="13"/>
  <c r="I1210" i="20"/>
  <c r="I1031" i="20"/>
  <c r="H1121" i="20"/>
  <c r="H400" i="13"/>
  <c r="I400" i="13"/>
  <c r="H1950" i="13"/>
  <c r="I1950" i="13"/>
  <c r="E767" i="20"/>
  <c r="F767" i="20" s="1"/>
  <c r="D768" i="20" s="1"/>
  <c r="E482" i="13"/>
  <c r="F482" i="13" s="1"/>
  <c r="H1603" i="13"/>
  <c r="I1603" i="13"/>
  <c r="E1922" i="20"/>
  <c r="F1922" i="20" s="1"/>
  <c r="D1923" i="20" s="1"/>
  <c r="E830" i="13"/>
  <c r="F830" i="13" s="1"/>
  <c r="G1346" i="13"/>
  <c r="G141" i="20"/>
  <c r="J1257" i="13"/>
  <c r="G1572" i="20"/>
  <c r="I1120" i="20"/>
  <c r="H1211" i="20"/>
  <c r="J1949" i="13"/>
  <c r="H1032" i="20"/>
  <c r="H1388" i="20"/>
  <c r="G1121" i="20"/>
  <c r="E401" i="13"/>
  <c r="F401" i="13" s="1"/>
  <c r="E1951" i="13"/>
  <c r="F1951" i="13" s="1"/>
  <c r="H745" i="13"/>
  <c r="I745" i="13"/>
  <c r="H829" i="13"/>
  <c r="I829" i="13"/>
  <c r="I1743" i="20"/>
  <c r="E1604" i="13"/>
  <c r="F1604" i="13" s="1"/>
  <c r="H219" i="13"/>
  <c r="I219" i="13"/>
  <c r="E678" i="20"/>
  <c r="F678" i="20" s="1"/>
  <c r="E1297" i="20"/>
  <c r="F1297" i="20" s="1"/>
  <c r="I228" i="20"/>
  <c r="E2013" i="20"/>
  <c r="F2013" i="20" s="1"/>
  <c r="I1032" i="20" l="1"/>
  <c r="H1777" i="13"/>
  <c r="J1777" i="13" s="1"/>
  <c r="I1211" i="20"/>
  <c r="I1388" i="20"/>
  <c r="B226" i="2"/>
  <c r="E13" i="2"/>
  <c r="D1779" i="13"/>
  <c r="E1779" i="13" s="1"/>
  <c r="F1779" i="13" s="1"/>
  <c r="D1780" i="13" s="1"/>
  <c r="G1778" i="13"/>
  <c r="H1778" i="13" s="1"/>
  <c r="D143" i="20"/>
  <c r="E143" i="20" s="1"/>
  <c r="F143" i="20" s="1"/>
  <c r="G142" i="20"/>
  <c r="D1348" i="13"/>
  <c r="E1348" i="13" s="1"/>
  <c r="F1348" i="13" s="1"/>
  <c r="D1349" i="13" s="1"/>
  <c r="G1347" i="13"/>
  <c r="H1347" i="13" s="1"/>
  <c r="D1034" i="20"/>
  <c r="H1033" i="20"/>
  <c r="G1033" i="20"/>
  <c r="D1574" i="20"/>
  <c r="E1574" i="20" s="1"/>
  <c r="F1574" i="20" s="1"/>
  <c r="D1575" i="20" s="1"/>
  <c r="G1573" i="20"/>
  <c r="H1573" i="20"/>
  <c r="G220" i="13"/>
  <c r="H220" i="13" s="1"/>
  <c r="I1088" i="13"/>
  <c r="H1088" i="13"/>
  <c r="E1089" i="13"/>
  <c r="F1089" i="13" s="1"/>
  <c r="I1479" i="20"/>
  <c r="I409" i="20"/>
  <c r="J1950" i="13"/>
  <c r="J1518" i="13"/>
  <c r="J481" i="13"/>
  <c r="J136" i="13"/>
  <c r="J1866" i="13"/>
  <c r="J1603" i="13"/>
  <c r="J400" i="13"/>
  <c r="J1430" i="13"/>
  <c r="J914" i="13"/>
  <c r="J307" i="13"/>
  <c r="I851" i="20"/>
  <c r="D402" i="13"/>
  <c r="G401" i="13"/>
  <c r="D1390" i="20"/>
  <c r="H1389" i="20"/>
  <c r="G1389" i="20"/>
  <c r="D1605" i="13"/>
  <c r="G1604" i="13"/>
  <c r="D831" i="13"/>
  <c r="G830" i="13"/>
  <c r="D1745" i="20"/>
  <c r="G1744" i="20"/>
  <c r="H1744" i="20"/>
  <c r="D230" i="20"/>
  <c r="H229" i="20"/>
  <c r="G229" i="20"/>
  <c r="D679" i="20"/>
  <c r="H678" i="20"/>
  <c r="G678" i="20"/>
  <c r="D483" i="13"/>
  <c r="G482" i="13"/>
  <c r="D1656" i="20"/>
  <c r="H1655" i="20"/>
  <c r="G1655" i="20"/>
  <c r="D1298" i="20"/>
  <c r="H1297" i="20"/>
  <c r="G1297" i="20"/>
  <c r="D747" i="13"/>
  <c r="G746" i="13"/>
  <c r="D1213" i="20"/>
  <c r="G1212" i="20"/>
  <c r="H1212" i="20"/>
  <c r="D1123" i="20"/>
  <c r="G1122" i="20"/>
  <c r="H1122" i="20"/>
  <c r="D2014" i="20"/>
  <c r="G2013" i="20"/>
  <c r="H2013" i="20"/>
  <c r="D1952" i="13"/>
  <c r="G1951" i="13"/>
  <c r="E1923" i="20"/>
  <c r="F1923" i="20" s="1"/>
  <c r="E768" i="20"/>
  <c r="F768" i="20" s="1"/>
  <c r="D769" i="20" s="1"/>
  <c r="E321" i="20"/>
  <c r="F321" i="20" s="1"/>
  <c r="E1691" i="13"/>
  <c r="F1691" i="13" s="1"/>
  <c r="H915" i="13"/>
  <c r="I915" i="13"/>
  <c r="H649" i="13"/>
  <c r="I649" i="13"/>
  <c r="E138" i="13"/>
  <c r="F138" i="13" s="1"/>
  <c r="J829" i="13"/>
  <c r="E1520" i="13"/>
  <c r="F1520" i="13" s="1"/>
  <c r="D1521" i="13" s="1"/>
  <c r="E852" i="20"/>
  <c r="F852" i="20" s="1"/>
  <c r="D853" i="20" s="1"/>
  <c r="I495" i="20"/>
  <c r="E1868" i="13"/>
  <c r="F1868" i="13" s="1"/>
  <c r="D1869" i="13" s="1"/>
  <c r="E916" i="13"/>
  <c r="F916" i="13" s="1"/>
  <c r="D917" i="13" s="1"/>
  <c r="E650" i="13"/>
  <c r="F650" i="13" s="1"/>
  <c r="I942" i="20"/>
  <c r="E1004" i="13"/>
  <c r="F1004" i="13" s="1"/>
  <c r="H1346" i="13"/>
  <c r="I1346" i="13"/>
  <c r="H1922" i="20"/>
  <c r="H767" i="20"/>
  <c r="I1121" i="20"/>
  <c r="I1572" i="20"/>
  <c r="E221" i="13"/>
  <c r="F221" i="13" s="1"/>
  <c r="G1519" i="13"/>
  <c r="E1034" i="20"/>
  <c r="F1034" i="20" s="1"/>
  <c r="E496" i="20"/>
  <c r="F496" i="20" s="1"/>
  <c r="I1833" i="20"/>
  <c r="H1258" i="13"/>
  <c r="I1258" i="13"/>
  <c r="H1172" i="13"/>
  <c r="I1172" i="13"/>
  <c r="H308" i="13"/>
  <c r="I308" i="13"/>
  <c r="E943" i="20"/>
  <c r="F943" i="20" s="1"/>
  <c r="D944" i="20" s="1"/>
  <c r="E1432" i="13"/>
  <c r="F1432" i="13" s="1"/>
  <c r="D1433" i="13" s="1"/>
  <c r="H1867" i="13"/>
  <c r="I1867" i="13"/>
  <c r="J219" i="13"/>
  <c r="J745" i="13"/>
  <c r="G1922" i="20"/>
  <c r="G767" i="20"/>
  <c r="I141" i="20"/>
  <c r="G1431" i="13"/>
  <c r="G1003" i="13"/>
  <c r="J1002" i="13"/>
  <c r="H142" i="20"/>
  <c r="I320" i="20"/>
  <c r="E1480" i="20"/>
  <c r="F1480" i="20" s="1"/>
  <c r="D1481" i="20" s="1"/>
  <c r="H1690" i="13"/>
  <c r="I1690" i="13"/>
  <c r="E1834" i="20"/>
  <c r="F1834" i="20" s="1"/>
  <c r="E1259" i="13"/>
  <c r="F1259" i="13" s="1"/>
  <c r="E1173" i="13"/>
  <c r="F1173" i="13" s="1"/>
  <c r="E309" i="13"/>
  <c r="F309" i="13" s="1"/>
  <c r="H137" i="13"/>
  <c r="I137" i="13"/>
  <c r="E410" i="20"/>
  <c r="F410" i="20" s="1"/>
  <c r="I220" i="13" l="1"/>
  <c r="J220" i="13" s="1"/>
  <c r="I1778" i="13"/>
  <c r="J1778" i="13" s="1"/>
  <c r="I1347" i="13"/>
  <c r="J1347" i="13" s="1"/>
  <c r="I142" i="20"/>
  <c r="I1573" i="20"/>
  <c r="I1033" i="20"/>
  <c r="B227" i="2"/>
  <c r="B228" i="2" s="1"/>
  <c r="B229" i="2" s="1"/>
  <c r="D1090" i="13"/>
  <c r="G1089" i="13"/>
  <c r="D1924" i="20"/>
  <c r="E1924" i="20" s="1"/>
  <c r="F1924" i="20" s="1"/>
  <c r="G1923" i="20"/>
  <c r="J1088" i="13"/>
  <c r="G1348" i="13"/>
  <c r="I1348" i="13" s="1"/>
  <c r="G768" i="20"/>
  <c r="I1122" i="20"/>
  <c r="J137" i="13"/>
  <c r="J1346" i="13"/>
  <c r="J915" i="13"/>
  <c r="I1922" i="20"/>
  <c r="J1867" i="13"/>
  <c r="J1172" i="13"/>
  <c r="I1744" i="20"/>
  <c r="I1389" i="20"/>
  <c r="J1690" i="13"/>
  <c r="J649" i="13"/>
  <c r="I1212" i="20"/>
  <c r="D310" i="13"/>
  <c r="G309" i="13"/>
  <c r="D139" i="13"/>
  <c r="G138" i="13"/>
  <c r="D497" i="20"/>
  <c r="G496" i="20"/>
  <c r="H496" i="20"/>
  <c r="D411" i="20"/>
  <c r="G410" i="20"/>
  <c r="H410" i="20"/>
  <c r="D1174" i="13"/>
  <c r="G1173" i="13"/>
  <c r="D1035" i="20"/>
  <c r="G1034" i="20"/>
  <c r="H1034" i="20"/>
  <c r="D222" i="13"/>
  <c r="G221" i="13"/>
  <c r="D322" i="20"/>
  <c r="G321" i="20"/>
  <c r="H321" i="20"/>
  <c r="D1835" i="20"/>
  <c r="H1834" i="20"/>
  <c r="G1834" i="20"/>
  <c r="D1692" i="13"/>
  <c r="G1691" i="13"/>
  <c r="D1260" i="13"/>
  <c r="G1259" i="13"/>
  <c r="D1005" i="13"/>
  <c r="G1004" i="13"/>
  <c r="D651" i="13"/>
  <c r="G650" i="13"/>
  <c r="D144" i="20"/>
  <c r="G143" i="20"/>
  <c r="H143" i="20"/>
  <c r="E1433" i="13"/>
  <c r="F1433" i="13" s="1"/>
  <c r="E917" i="13"/>
  <c r="F917" i="13" s="1"/>
  <c r="H746" i="13"/>
  <c r="I746" i="13"/>
  <c r="H482" i="13"/>
  <c r="I482" i="13"/>
  <c r="E831" i="13"/>
  <c r="F831" i="13" s="1"/>
  <c r="D832" i="13" s="1"/>
  <c r="H1519" i="13"/>
  <c r="I1519" i="13"/>
  <c r="E1869" i="13"/>
  <c r="F1869" i="13" s="1"/>
  <c r="H852" i="20"/>
  <c r="E1780" i="13"/>
  <c r="F1780" i="13" s="1"/>
  <c r="D1781" i="13" s="1"/>
  <c r="E1349" i="13"/>
  <c r="F1349" i="13" s="1"/>
  <c r="D1350" i="13" s="1"/>
  <c r="E769" i="20"/>
  <c r="F769" i="20" s="1"/>
  <c r="H1951" i="13"/>
  <c r="I1951" i="13"/>
  <c r="E2014" i="20"/>
  <c r="F2014" i="20" s="1"/>
  <c r="E747" i="13"/>
  <c r="F747" i="13" s="1"/>
  <c r="E483" i="13"/>
  <c r="F483" i="13" s="1"/>
  <c r="H1604" i="13"/>
  <c r="I1604" i="13"/>
  <c r="E1390" i="20"/>
  <c r="F1390" i="20" s="1"/>
  <c r="D1391" i="20" s="1"/>
  <c r="E1575" i="20"/>
  <c r="F1575" i="20" s="1"/>
  <c r="D1576" i="20" s="1"/>
  <c r="E853" i="20"/>
  <c r="F853" i="20" s="1"/>
  <c r="D854" i="20" s="1"/>
  <c r="E1521" i="13"/>
  <c r="F1521" i="13" s="1"/>
  <c r="E1123" i="20"/>
  <c r="F1123" i="20" s="1"/>
  <c r="E1298" i="20"/>
  <c r="F1298" i="20" s="1"/>
  <c r="D1299" i="20" s="1"/>
  <c r="E679" i="20"/>
  <c r="F679" i="20" s="1"/>
  <c r="H1480" i="20"/>
  <c r="H1003" i="13"/>
  <c r="I1003" i="13"/>
  <c r="H943" i="20"/>
  <c r="J308" i="13"/>
  <c r="J1258" i="13"/>
  <c r="H1574" i="20"/>
  <c r="G916" i="13"/>
  <c r="G852" i="20"/>
  <c r="G1520" i="13"/>
  <c r="E1952" i="13"/>
  <c r="F1952" i="13" s="1"/>
  <c r="I1655" i="20"/>
  <c r="I229" i="20"/>
  <c r="E1745" i="20"/>
  <c r="F1745" i="20" s="1"/>
  <c r="E1605" i="13"/>
  <c r="F1605" i="13" s="1"/>
  <c r="H401" i="13"/>
  <c r="I401" i="13"/>
  <c r="E1481" i="20"/>
  <c r="F1481" i="20" s="1"/>
  <c r="E944" i="20"/>
  <c r="F944" i="20" s="1"/>
  <c r="G1480" i="20"/>
  <c r="H1431" i="13"/>
  <c r="I1431" i="13"/>
  <c r="G1432" i="13"/>
  <c r="G943" i="20"/>
  <c r="G1574" i="20"/>
  <c r="I767" i="20"/>
  <c r="G1868" i="13"/>
  <c r="G1779" i="13"/>
  <c r="H768" i="20"/>
  <c r="H1923" i="20"/>
  <c r="I2013" i="20"/>
  <c r="E1213" i="20"/>
  <c r="F1213" i="20" s="1"/>
  <c r="I1297" i="20"/>
  <c r="E1656" i="20"/>
  <c r="F1656" i="20" s="1"/>
  <c r="I678" i="20"/>
  <c r="E230" i="20"/>
  <c r="F230" i="20" s="1"/>
  <c r="D231" i="20" s="1"/>
  <c r="H830" i="13"/>
  <c r="I830" i="13"/>
  <c r="E402" i="13"/>
  <c r="F402" i="13" s="1"/>
  <c r="H1348" i="13" l="1"/>
  <c r="J1348" i="13" s="1"/>
  <c r="I1923" i="20"/>
  <c r="I768" i="20"/>
  <c r="B231" i="2"/>
  <c r="B233" i="2" s="1"/>
  <c r="B234" i="2" s="1"/>
  <c r="E231" i="2"/>
  <c r="E68" i="2"/>
  <c r="E229" i="2"/>
  <c r="D1925" i="20"/>
  <c r="E1925" i="20" s="1"/>
  <c r="F1925" i="20" s="1"/>
  <c r="H1924" i="20"/>
  <c r="G1924" i="20"/>
  <c r="D770" i="20"/>
  <c r="E770" i="20" s="1"/>
  <c r="F770" i="20" s="1"/>
  <c r="H769" i="20"/>
  <c r="G769" i="20"/>
  <c r="D680" i="20"/>
  <c r="E680" i="20" s="1"/>
  <c r="F680" i="20" s="1"/>
  <c r="G679" i="20"/>
  <c r="G1298" i="20"/>
  <c r="H1089" i="13"/>
  <c r="I1089" i="13"/>
  <c r="G1349" i="13"/>
  <c r="I1349" i="13" s="1"/>
  <c r="E1090" i="13"/>
  <c r="F1090" i="13" s="1"/>
  <c r="D1091" i="13" s="1"/>
  <c r="J830" i="13"/>
  <c r="J1431" i="13"/>
  <c r="J1604" i="13"/>
  <c r="J746" i="13"/>
  <c r="I1034" i="20"/>
  <c r="I496" i="20"/>
  <c r="J1951" i="13"/>
  <c r="I143" i="20"/>
  <c r="I410" i="20"/>
  <c r="I1574" i="20"/>
  <c r="J1003" i="13"/>
  <c r="I321" i="20"/>
  <c r="J1519" i="13"/>
  <c r="D1953" i="13"/>
  <c r="G1952" i="13"/>
  <c r="D403" i="13"/>
  <c r="G402" i="13"/>
  <c r="D1606" i="13"/>
  <c r="G1605" i="13"/>
  <c r="D918" i="13"/>
  <c r="G917" i="13"/>
  <c r="D1482" i="20"/>
  <c r="H1481" i="20"/>
  <c r="G1481" i="20"/>
  <c r="D1124" i="20"/>
  <c r="H1123" i="20"/>
  <c r="G1123" i="20"/>
  <c r="D1434" i="13"/>
  <c r="G1433" i="13"/>
  <c r="D1657" i="20"/>
  <c r="H1656" i="20"/>
  <c r="G1656" i="20"/>
  <c r="D1522" i="13"/>
  <c r="G1521" i="13"/>
  <c r="D1870" i="13"/>
  <c r="G1869" i="13"/>
  <c r="D1214" i="20"/>
  <c r="G1213" i="20"/>
  <c r="H1213" i="20"/>
  <c r="D945" i="20"/>
  <c r="H944" i="20"/>
  <c r="G944" i="20"/>
  <c r="D748" i="13"/>
  <c r="G747" i="13"/>
  <c r="D1746" i="20"/>
  <c r="G1745" i="20"/>
  <c r="H1745" i="20"/>
  <c r="D2015" i="20"/>
  <c r="G2014" i="20"/>
  <c r="H2014" i="20"/>
  <c r="D484" i="13"/>
  <c r="G483" i="13"/>
  <c r="E854" i="20"/>
  <c r="F854" i="20" s="1"/>
  <c r="E1391" i="20"/>
  <c r="F1391" i="20" s="1"/>
  <c r="D1392" i="20" s="1"/>
  <c r="E832" i="13"/>
  <c r="F832" i="13" s="1"/>
  <c r="D833" i="13" s="1"/>
  <c r="E144" i="20"/>
  <c r="F144" i="20" s="1"/>
  <c r="D145" i="20" s="1"/>
  <c r="E1005" i="13"/>
  <c r="F1005" i="13" s="1"/>
  <c r="E1692" i="13"/>
  <c r="F1692" i="13" s="1"/>
  <c r="D1693" i="13" s="1"/>
  <c r="E222" i="13"/>
  <c r="F222" i="13" s="1"/>
  <c r="E411" i="20"/>
  <c r="F411" i="20" s="1"/>
  <c r="H138" i="13"/>
  <c r="I138" i="13"/>
  <c r="H1779" i="13"/>
  <c r="I1779" i="13"/>
  <c r="H1520" i="13"/>
  <c r="I1520" i="13"/>
  <c r="E1299" i="20"/>
  <c r="F1299" i="20" s="1"/>
  <c r="D1300" i="20" s="1"/>
  <c r="E1350" i="13"/>
  <c r="F1350" i="13" s="1"/>
  <c r="D1351" i="13" s="1"/>
  <c r="H650" i="13"/>
  <c r="I650" i="13"/>
  <c r="H1259" i="13"/>
  <c r="I1259" i="13"/>
  <c r="E1174" i="13"/>
  <c r="F1174" i="13" s="1"/>
  <c r="E139" i="13"/>
  <c r="F139" i="13" s="1"/>
  <c r="E231" i="20"/>
  <c r="F231" i="20" s="1"/>
  <c r="D232" i="20" s="1"/>
  <c r="E1576" i="20"/>
  <c r="F1576" i="20" s="1"/>
  <c r="D1577" i="20" s="1"/>
  <c r="E1781" i="13"/>
  <c r="F1781" i="13" s="1"/>
  <c r="H230" i="20"/>
  <c r="H1868" i="13"/>
  <c r="I1868" i="13"/>
  <c r="I1480" i="20"/>
  <c r="H853" i="20"/>
  <c r="H1575" i="20"/>
  <c r="H1390" i="20"/>
  <c r="I852" i="20"/>
  <c r="G831" i="13"/>
  <c r="E651" i="13"/>
  <c r="F651" i="13" s="1"/>
  <c r="E1260" i="13"/>
  <c r="F1260" i="13" s="1"/>
  <c r="D1261" i="13" s="1"/>
  <c r="I1834" i="20"/>
  <c r="E322" i="20"/>
  <c r="F322" i="20" s="1"/>
  <c r="H309" i="13"/>
  <c r="I309" i="13"/>
  <c r="H1173" i="13"/>
  <c r="I1173" i="13"/>
  <c r="G230" i="20"/>
  <c r="H1432" i="13"/>
  <c r="I1432" i="13"/>
  <c r="J401" i="13"/>
  <c r="H916" i="13"/>
  <c r="I916" i="13"/>
  <c r="I943" i="20"/>
  <c r="H679" i="20"/>
  <c r="H1298" i="20"/>
  <c r="G853" i="20"/>
  <c r="G1575" i="20"/>
  <c r="G1390" i="20"/>
  <c r="G1780" i="13"/>
  <c r="J482" i="13"/>
  <c r="H1004" i="13"/>
  <c r="I1004" i="13"/>
  <c r="H1691" i="13"/>
  <c r="I1691" i="13"/>
  <c r="E1835" i="20"/>
  <c r="F1835" i="20" s="1"/>
  <c r="D1836" i="20" s="1"/>
  <c r="H221" i="13"/>
  <c r="I221" i="13"/>
  <c r="E1035" i="20"/>
  <c r="F1035" i="20" s="1"/>
  <c r="E497" i="20"/>
  <c r="F497" i="20" s="1"/>
  <c r="E310" i="13"/>
  <c r="F310" i="13" s="1"/>
  <c r="D311" i="13" s="1"/>
  <c r="H1349" i="13" l="1"/>
  <c r="G1090" i="13"/>
  <c r="I679" i="20"/>
  <c r="I769" i="20"/>
  <c r="I1298" i="20"/>
  <c r="I1924" i="20"/>
  <c r="B235" i="2"/>
  <c r="B236" i="2" s="1"/>
  <c r="B237" i="2" s="1"/>
  <c r="B238" i="2" s="1"/>
  <c r="B239" i="2" s="1"/>
  <c r="B241" i="2" s="1"/>
  <c r="B244" i="2" s="1"/>
  <c r="B245" i="2" s="1"/>
  <c r="J1089" i="13"/>
  <c r="D771" i="20"/>
  <c r="E771" i="20" s="1"/>
  <c r="F771" i="20" s="1"/>
  <c r="D772" i="20" s="1"/>
  <c r="H770" i="20"/>
  <c r="H1090" i="13"/>
  <c r="I1090" i="13"/>
  <c r="E1091" i="13"/>
  <c r="F1091" i="13" s="1"/>
  <c r="D1092" i="13" s="1"/>
  <c r="J1868" i="13"/>
  <c r="J650" i="13"/>
  <c r="J1520" i="13"/>
  <c r="I1745" i="20"/>
  <c r="I1213" i="20"/>
  <c r="J916" i="13"/>
  <c r="J309" i="13"/>
  <c r="I1390" i="20"/>
  <c r="J1432" i="13"/>
  <c r="J1259" i="13"/>
  <c r="J1779" i="13"/>
  <c r="I944" i="20"/>
  <c r="D1926" i="20"/>
  <c r="G1925" i="20"/>
  <c r="H1925" i="20"/>
  <c r="D1036" i="20"/>
  <c r="H1035" i="20"/>
  <c r="G1035" i="20"/>
  <c r="D681" i="20"/>
  <c r="G680" i="20"/>
  <c r="H680" i="20"/>
  <c r="D412" i="20"/>
  <c r="G411" i="20"/>
  <c r="H411" i="20"/>
  <c r="D140" i="13"/>
  <c r="G139" i="13"/>
  <c r="D223" i="13"/>
  <c r="G222" i="13"/>
  <c r="D855" i="20"/>
  <c r="G854" i="20"/>
  <c r="H854" i="20"/>
  <c r="D1782" i="13"/>
  <c r="G1781" i="13"/>
  <c r="D1006" i="13"/>
  <c r="G1005" i="13"/>
  <c r="D498" i="20"/>
  <c r="H497" i="20"/>
  <c r="G497" i="20"/>
  <c r="D323" i="20"/>
  <c r="H322" i="20"/>
  <c r="G322" i="20"/>
  <c r="D652" i="13"/>
  <c r="G651" i="13"/>
  <c r="D1175" i="13"/>
  <c r="G1174" i="13"/>
  <c r="E1261" i="13"/>
  <c r="F1261" i="13" s="1"/>
  <c r="E232" i="20"/>
  <c r="F232" i="20" s="1"/>
  <c r="D233" i="20" s="1"/>
  <c r="E1351" i="13"/>
  <c r="F1351" i="13" s="1"/>
  <c r="E145" i="20"/>
  <c r="F145" i="20" s="1"/>
  <c r="E1522" i="13"/>
  <c r="F1522" i="13" s="1"/>
  <c r="D1523" i="13" s="1"/>
  <c r="E1124" i="20"/>
  <c r="F1124" i="20" s="1"/>
  <c r="H402" i="13"/>
  <c r="I402" i="13"/>
  <c r="G310" i="13"/>
  <c r="H1835" i="20"/>
  <c r="J1691" i="13"/>
  <c r="G770" i="20"/>
  <c r="I1575" i="20"/>
  <c r="G832" i="13"/>
  <c r="H1391" i="20"/>
  <c r="H483" i="13"/>
  <c r="I483" i="13"/>
  <c r="E2015" i="20"/>
  <c r="F2015" i="20" s="1"/>
  <c r="H747" i="13"/>
  <c r="I747" i="13"/>
  <c r="E945" i="20"/>
  <c r="F945" i="20" s="1"/>
  <c r="H1869" i="13"/>
  <c r="I1869" i="13"/>
  <c r="E1434" i="13"/>
  <c r="F1434" i="13" s="1"/>
  <c r="E918" i="13"/>
  <c r="F918" i="13" s="1"/>
  <c r="E403" i="13"/>
  <c r="F403" i="13" s="1"/>
  <c r="E311" i="13"/>
  <c r="F311" i="13" s="1"/>
  <c r="D312" i="13" s="1"/>
  <c r="E1577" i="20"/>
  <c r="F1577" i="20" s="1"/>
  <c r="E1300" i="20"/>
  <c r="F1300" i="20" s="1"/>
  <c r="E833" i="13"/>
  <c r="F833" i="13" s="1"/>
  <c r="E1392" i="20"/>
  <c r="F1392" i="20" s="1"/>
  <c r="D1393" i="20" s="1"/>
  <c r="E1746" i="20"/>
  <c r="F1746" i="20" s="1"/>
  <c r="D1747" i="20" s="1"/>
  <c r="E1214" i="20"/>
  <c r="F1214" i="20" s="1"/>
  <c r="H1433" i="13"/>
  <c r="I1433" i="13"/>
  <c r="H917" i="13"/>
  <c r="I917" i="13"/>
  <c r="G1835" i="20"/>
  <c r="H1780" i="13"/>
  <c r="I1780" i="13"/>
  <c r="G1260" i="13"/>
  <c r="H831" i="13"/>
  <c r="I831" i="13"/>
  <c r="I853" i="20"/>
  <c r="I230" i="20"/>
  <c r="H1576" i="20"/>
  <c r="H231" i="20"/>
  <c r="H1299" i="20"/>
  <c r="G1692" i="13"/>
  <c r="H144" i="20"/>
  <c r="G1391" i="20"/>
  <c r="E484" i="13"/>
  <c r="F484" i="13" s="1"/>
  <c r="D485" i="13" s="1"/>
  <c r="E748" i="13"/>
  <c r="F748" i="13" s="1"/>
  <c r="E1870" i="13"/>
  <c r="F1870" i="13" s="1"/>
  <c r="D1871" i="13" s="1"/>
  <c r="I1656" i="20"/>
  <c r="I1481" i="20"/>
  <c r="H1605" i="13"/>
  <c r="I1605" i="13"/>
  <c r="H1952" i="13"/>
  <c r="I1952" i="13"/>
  <c r="E1836" i="20"/>
  <c r="F1836" i="20" s="1"/>
  <c r="E1693" i="13"/>
  <c r="F1693" i="13" s="1"/>
  <c r="D1694" i="13" s="1"/>
  <c r="J221" i="13"/>
  <c r="J1004" i="13"/>
  <c r="J1173" i="13"/>
  <c r="G1576" i="20"/>
  <c r="G231" i="20"/>
  <c r="G1350" i="13"/>
  <c r="G1299" i="20"/>
  <c r="J138" i="13"/>
  <c r="G144" i="20"/>
  <c r="J1349" i="13"/>
  <c r="I2014" i="20"/>
  <c r="H1521" i="13"/>
  <c r="I1521" i="13"/>
  <c r="E1657" i="20"/>
  <c r="F1657" i="20" s="1"/>
  <c r="I1123" i="20"/>
  <c r="E1482" i="20"/>
  <c r="F1482" i="20" s="1"/>
  <c r="E1606" i="13"/>
  <c r="F1606" i="13" s="1"/>
  <c r="E1953" i="13"/>
  <c r="F1953" i="13" s="1"/>
  <c r="I770" i="20" l="1"/>
  <c r="B246" i="2"/>
  <c r="B247" i="2" s="1"/>
  <c r="B248" i="2" s="1"/>
  <c r="E239" i="2"/>
  <c r="G1091" i="13"/>
  <c r="H1091" i="13" s="1"/>
  <c r="J1090" i="13"/>
  <c r="D919" i="13"/>
  <c r="E919" i="13" s="1"/>
  <c r="F919" i="13" s="1"/>
  <c r="G918" i="13"/>
  <c r="H918" i="13" s="1"/>
  <c r="D1578" i="20"/>
  <c r="E1578" i="20" s="1"/>
  <c r="F1578" i="20" s="1"/>
  <c r="D1579" i="20" s="1"/>
  <c r="H1577" i="20"/>
  <c r="D1125" i="20"/>
  <c r="H1124" i="20"/>
  <c r="G1124" i="20"/>
  <c r="E1092" i="13"/>
  <c r="F1092" i="13" s="1"/>
  <c r="D1093" i="13" s="1"/>
  <c r="I411" i="20"/>
  <c r="J1952" i="13"/>
  <c r="I1576" i="20"/>
  <c r="J917" i="13"/>
  <c r="J483" i="13"/>
  <c r="J1521" i="13"/>
  <c r="J402" i="13"/>
  <c r="I680" i="20"/>
  <c r="I1925" i="20"/>
  <c r="D834" i="13"/>
  <c r="G833" i="13"/>
  <c r="D404" i="13"/>
  <c r="G403" i="13"/>
  <c r="D1262" i="13"/>
  <c r="G1261" i="13"/>
  <c r="D1837" i="20"/>
  <c r="H1836" i="20"/>
  <c r="G1836" i="20"/>
  <c r="D1352" i="13"/>
  <c r="G1351" i="13"/>
  <c r="D1607" i="13"/>
  <c r="G1606" i="13"/>
  <c r="D1435" i="13"/>
  <c r="G1434" i="13"/>
  <c r="D146" i="20"/>
  <c r="H145" i="20"/>
  <c r="G145" i="20"/>
  <c r="D1483" i="20"/>
  <c r="H1482" i="20"/>
  <c r="G1482" i="20"/>
  <c r="D1301" i="20"/>
  <c r="H1300" i="20"/>
  <c r="G1300" i="20"/>
  <c r="D749" i="13"/>
  <c r="G748" i="13"/>
  <c r="D2016" i="20"/>
  <c r="G2015" i="20"/>
  <c r="H2015" i="20"/>
  <c r="D1954" i="13"/>
  <c r="G1953" i="13"/>
  <c r="D1658" i="20"/>
  <c r="H1657" i="20"/>
  <c r="G1657" i="20"/>
  <c r="D1215" i="20"/>
  <c r="G1214" i="20"/>
  <c r="H1214" i="20"/>
  <c r="D946" i="20"/>
  <c r="H945" i="20"/>
  <c r="G945" i="20"/>
  <c r="E772" i="20"/>
  <c r="F772" i="20" s="1"/>
  <c r="I144" i="20"/>
  <c r="E1747" i="20"/>
  <c r="F1747" i="20" s="1"/>
  <c r="H832" i="13"/>
  <c r="I832" i="13"/>
  <c r="E1523" i="13"/>
  <c r="F1523" i="13" s="1"/>
  <c r="E1006" i="13"/>
  <c r="F1006" i="13" s="1"/>
  <c r="D1007" i="13" s="1"/>
  <c r="H139" i="13"/>
  <c r="I139" i="13"/>
  <c r="G484" i="13"/>
  <c r="H1692" i="13"/>
  <c r="I1692" i="13"/>
  <c r="H1260" i="13"/>
  <c r="I1260" i="13"/>
  <c r="H1746" i="20"/>
  <c r="H1392" i="20"/>
  <c r="G1577" i="20"/>
  <c r="J1869" i="13"/>
  <c r="H310" i="13"/>
  <c r="I310" i="13"/>
  <c r="G1522" i="13"/>
  <c r="H1174" i="13"/>
  <c r="I1174" i="13"/>
  <c r="I497" i="20"/>
  <c r="H1781" i="13"/>
  <c r="I1781" i="13"/>
  <c r="E855" i="20"/>
  <c r="F855" i="20" s="1"/>
  <c r="E140" i="13"/>
  <c r="F140" i="13" s="1"/>
  <c r="E1871" i="13"/>
  <c r="F1871" i="13" s="1"/>
  <c r="D1872" i="13" s="1"/>
  <c r="E1393" i="20"/>
  <c r="F1393" i="20" s="1"/>
  <c r="I1835" i="20"/>
  <c r="E233" i="20"/>
  <c r="F233" i="20" s="1"/>
  <c r="E652" i="13"/>
  <c r="F652" i="13" s="1"/>
  <c r="D653" i="13" s="1"/>
  <c r="E412" i="20"/>
  <c r="F412" i="20" s="1"/>
  <c r="D413" i="20" s="1"/>
  <c r="E1036" i="20"/>
  <c r="F1036" i="20" s="1"/>
  <c r="D1037" i="20" s="1"/>
  <c r="H771" i="20"/>
  <c r="G1693" i="13"/>
  <c r="J1605" i="13"/>
  <c r="G1870" i="13"/>
  <c r="I1299" i="20"/>
  <c r="J1780" i="13"/>
  <c r="G1746" i="20"/>
  <c r="G1392" i="20"/>
  <c r="G311" i="13"/>
  <c r="E1125" i="20"/>
  <c r="F1125" i="20" s="1"/>
  <c r="D1126" i="20" s="1"/>
  <c r="H232" i="20"/>
  <c r="E1175" i="13"/>
  <c r="F1175" i="13" s="1"/>
  <c r="I322" i="20"/>
  <c r="E498" i="20"/>
  <c r="F498" i="20" s="1"/>
  <c r="E1782" i="13"/>
  <c r="F1782" i="13" s="1"/>
  <c r="H222" i="13"/>
  <c r="I222" i="13"/>
  <c r="E485" i="13"/>
  <c r="F485" i="13" s="1"/>
  <c r="H1350" i="13"/>
  <c r="I1350" i="13"/>
  <c r="G771" i="20"/>
  <c r="E1694" i="13"/>
  <c r="F1694" i="13" s="1"/>
  <c r="I231" i="20"/>
  <c r="J831" i="13"/>
  <c r="J1433" i="13"/>
  <c r="E312" i="13"/>
  <c r="F312" i="13" s="1"/>
  <c r="J747" i="13"/>
  <c r="I1391" i="20"/>
  <c r="G232" i="20"/>
  <c r="H651" i="13"/>
  <c r="I651" i="13"/>
  <c r="E323" i="20"/>
  <c r="F323" i="20" s="1"/>
  <c r="H1005" i="13"/>
  <c r="I1005" i="13"/>
  <c r="I854" i="20"/>
  <c r="E223" i="13"/>
  <c r="F223" i="13" s="1"/>
  <c r="E681" i="20"/>
  <c r="F681" i="20" s="1"/>
  <c r="D682" i="20" s="1"/>
  <c r="I1035" i="20"/>
  <c r="E1926" i="20"/>
  <c r="F1926" i="20" s="1"/>
  <c r="D1927" i="20" s="1"/>
  <c r="I918" i="13" l="1"/>
  <c r="J918" i="13" s="1"/>
  <c r="I1577" i="20"/>
  <c r="I1124" i="20"/>
  <c r="I1091" i="13"/>
  <c r="J1091" i="13" s="1"/>
  <c r="B249" i="2"/>
  <c r="G1092" i="13"/>
  <c r="H1092" i="13" s="1"/>
  <c r="D1748" i="20"/>
  <c r="G1747" i="20"/>
  <c r="D313" i="13"/>
  <c r="E313" i="13" s="1"/>
  <c r="F313" i="13" s="1"/>
  <c r="G312" i="13"/>
  <c r="H312" i="13" s="1"/>
  <c r="D324" i="20"/>
  <c r="E324" i="20" s="1"/>
  <c r="F324" i="20" s="1"/>
  <c r="D325" i="20" s="1"/>
  <c r="G323" i="20"/>
  <c r="H323" i="20"/>
  <c r="G1578" i="20"/>
  <c r="G1871" i="13"/>
  <c r="H1871" i="13" s="1"/>
  <c r="E1093" i="13"/>
  <c r="F1093" i="13" s="1"/>
  <c r="J1174" i="13"/>
  <c r="J139" i="13"/>
  <c r="J651" i="13"/>
  <c r="J1781" i="13"/>
  <c r="J1260" i="13"/>
  <c r="J832" i="13"/>
  <c r="I1482" i="20"/>
  <c r="I1836" i="20"/>
  <c r="I1746" i="20"/>
  <c r="I232" i="20"/>
  <c r="D499" i="20"/>
  <c r="G498" i="20"/>
  <c r="H498" i="20"/>
  <c r="D486" i="13"/>
  <c r="G485" i="13"/>
  <c r="D856" i="20"/>
  <c r="G855" i="20"/>
  <c r="H855" i="20"/>
  <c r="D224" i="13"/>
  <c r="G223" i="13"/>
  <c r="D234" i="20"/>
  <c r="G233" i="20"/>
  <c r="H233" i="20"/>
  <c r="D920" i="13"/>
  <c r="G919" i="13"/>
  <c r="D1176" i="13"/>
  <c r="G1175" i="13"/>
  <c r="D1695" i="13"/>
  <c r="G1694" i="13"/>
  <c r="D1524" i="13"/>
  <c r="G1523" i="13"/>
  <c r="D1394" i="20"/>
  <c r="G1393" i="20"/>
  <c r="H1393" i="20"/>
  <c r="D1783" i="13"/>
  <c r="G1782" i="13"/>
  <c r="D141" i="13"/>
  <c r="G140" i="13"/>
  <c r="D773" i="20"/>
  <c r="H772" i="20"/>
  <c r="G772" i="20"/>
  <c r="E413" i="20"/>
  <c r="F413" i="20" s="1"/>
  <c r="E1007" i="13"/>
  <c r="F1007" i="13" s="1"/>
  <c r="E1607" i="13"/>
  <c r="F1607" i="13" s="1"/>
  <c r="D1608" i="13" s="1"/>
  <c r="H484" i="13"/>
  <c r="I484" i="13"/>
  <c r="E1748" i="20"/>
  <c r="F1748" i="20" s="1"/>
  <c r="I945" i="20"/>
  <c r="E1215" i="20"/>
  <c r="F1215" i="20" s="1"/>
  <c r="H1953" i="13"/>
  <c r="I1953" i="13"/>
  <c r="E2016" i="20"/>
  <c r="F2016" i="20" s="1"/>
  <c r="D2017" i="20" s="1"/>
  <c r="I1300" i="20"/>
  <c r="E1483" i="20"/>
  <c r="F1483" i="20" s="1"/>
  <c r="H1434" i="13"/>
  <c r="I1434" i="13"/>
  <c r="H1351" i="13"/>
  <c r="I1351" i="13"/>
  <c r="E1837" i="20"/>
  <c r="F1837" i="20" s="1"/>
  <c r="D1838" i="20" s="1"/>
  <c r="E404" i="13"/>
  <c r="F404" i="13" s="1"/>
  <c r="E682" i="20"/>
  <c r="F682" i="20" s="1"/>
  <c r="D683" i="20" s="1"/>
  <c r="E1126" i="20"/>
  <c r="F1126" i="20" s="1"/>
  <c r="D1127" i="20" s="1"/>
  <c r="H1693" i="13"/>
  <c r="I1693" i="13"/>
  <c r="E653" i="13"/>
  <c r="F653" i="13" s="1"/>
  <c r="E1658" i="20"/>
  <c r="F1658" i="20" s="1"/>
  <c r="D1659" i="20" s="1"/>
  <c r="H403" i="13"/>
  <c r="I403" i="13"/>
  <c r="H1926" i="20"/>
  <c r="H311" i="13"/>
  <c r="I311" i="13"/>
  <c r="I771" i="20"/>
  <c r="G1926" i="20"/>
  <c r="H681" i="20"/>
  <c r="J1005" i="13"/>
  <c r="J1350" i="13"/>
  <c r="G1125" i="20"/>
  <c r="H1870" i="13"/>
  <c r="I1870" i="13"/>
  <c r="H1036" i="20"/>
  <c r="H412" i="20"/>
  <c r="G652" i="13"/>
  <c r="H1522" i="13"/>
  <c r="I1522" i="13"/>
  <c r="G1006" i="13"/>
  <c r="E946" i="20"/>
  <c r="F946" i="20" s="1"/>
  <c r="D947" i="20" s="1"/>
  <c r="E1954" i="13"/>
  <c r="F1954" i="13" s="1"/>
  <c r="H748" i="13"/>
  <c r="I748" i="13"/>
  <c r="E1301" i="20"/>
  <c r="F1301" i="20" s="1"/>
  <c r="E1435" i="13"/>
  <c r="F1435" i="13" s="1"/>
  <c r="D1436" i="13" s="1"/>
  <c r="E1352" i="13"/>
  <c r="F1352" i="13" s="1"/>
  <c r="D1353" i="13" s="1"/>
  <c r="H1261" i="13"/>
  <c r="I1261" i="13"/>
  <c r="H833" i="13"/>
  <c r="I833" i="13"/>
  <c r="E1927" i="20"/>
  <c r="F1927" i="20" s="1"/>
  <c r="I312" i="13"/>
  <c r="E1037" i="20"/>
  <c r="F1037" i="20" s="1"/>
  <c r="D1038" i="20" s="1"/>
  <c r="E146" i="20"/>
  <c r="F146" i="20" s="1"/>
  <c r="E1579" i="20"/>
  <c r="F1579" i="20" s="1"/>
  <c r="H1125" i="20"/>
  <c r="E1872" i="13"/>
  <c r="F1872" i="13" s="1"/>
  <c r="D1873" i="13" s="1"/>
  <c r="G681" i="20"/>
  <c r="H1578" i="20"/>
  <c r="J222" i="13"/>
  <c r="G1036" i="20"/>
  <c r="G412" i="20"/>
  <c r="J310" i="13"/>
  <c r="I1392" i="20"/>
  <c r="J1692" i="13"/>
  <c r="H1747" i="20"/>
  <c r="I1214" i="20"/>
  <c r="I1657" i="20"/>
  <c r="I2015" i="20"/>
  <c r="E749" i="13"/>
  <c r="F749" i="13" s="1"/>
  <c r="I145" i="20"/>
  <c r="H1606" i="13"/>
  <c r="I1606" i="13"/>
  <c r="E1262" i="13"/>
  <c r="F1262" i="13" s="1"/>
  <c r="E834" i="13"/>
  <c r="F834" i="13" s="1"/>
  <c r="I1871" i="13" l="1"/>
  <c r="J1871" i="13" s="1"/>
  <c r="I1578" i="20"/>
  <c r="I1747" i="20"/>
  <c r="I323" i="20"/>
  <c r="I1092" i="13"/>
  <c r="J1092" i="13" s="1"/>
  <c r="D256" i="2"/>
  <c r="B250" i="2"/>
  <c r="B251" i="2" s="1"/>
  <c r="B252" i="2" s="1"/>
  <c r="D1094" i="13"/>
  <c r="E1094" i="13" s="1"/>
  <c r="F1094" i="13" s="1"/>
  <c r="D1095" i="13" s="1"/>
  <c r="G1093" i="13"/>
  <c r="H1093" i="13" s="1"/>
  <c r="D750" i="13"/>
  <c r="E750" i="13" s="1"/>
  <c r="F750" i="13" s="1"/>
  <c r="G749" i="13"/>
  <c r="I749" i="13" s="1"/>
  <c r="D1216" i="20"/>
  <c r="E1216" i="20" s="1"/>
  <c r="F1216" i="20" s="1"/>
  <c r="G1215" i="20"/>
  <c r="H1215" i="20"/>
  <c r="D1008" i="13"/>
  <c r="E1008" i="13" s="1"/>
  <c r="F1008" i="13" s="1"/>
  <c r="G1007" i="13"/>
  <c r="H1007" i="13" s="1"/>
  <c r="D147" i="20"/>
  <c r="E147" i="20" s="1"/>
  <c r="F147" i="20" s="1"/>
  <c r="G146" i="20"/>
  <c r="G1872" i="13"/>
  <c r="H1872" i="13" s="1"/>
  <c r="J1261" i="13"/>
  <c r="J1870" i="13"/>
  <c r="J403" i="13"/>
  <c r="J1522" i="13"/>
  <c r="J1693" i="13"/>
  <c r="I1393" i="20"/>
  <c r="I855" i="20"/>
  <c r="J1606" i="13"/>
  <c r="I412" i="20"/>
  <c r="J312" i="13"/>
  <c r="J748" i="13"/>
  <c r="I1036" i="20"/>
  <c r="J1351" i="13"/>
  <c r="J1953" i="13"/>
  <c r="J484" i="13"/>
  <c r="I498" i="20"/>
  <c r="D1302" i="20"/>
  <c r="G1301" i="20"/>
  <c r="H1301" i="20"/>
  <c r="D314" i="13"/>
  <c r="G313" i="13"/>
  <c r="D414" i="20"/>
  <c r="G413" i="20"/>
  <c r="H413" i="20"/>
  <c r="D1484" i="20"/>
  <c r="G1483" i="20"/>
  <c r="H1483" i="20"/>
  <c r="D835" i="13"/>
  <c r="G834" i="13"/>
  <c r="D405" i="13"/>
  <c r="G404" i="13"/>
  <c r="D1749" i="20"/>
  <c r="G1748" i="20"/>
  <c r="H1748" i="20"/>
  <c r="D1580" i="20"/>
  <c r="H1579" i="20"/>
  <c r="G1579" i="20"/>
  <c r="D1263" i="13"/>
  <c r="G1262" i="13"/>
  <c r="D1928" i="20"/>
  <c r="H1927" i="20"/>
  <c r="G1927" i="20"/>
  <c r="D1955" i="13"/>
  <c r="G1954" i="13"/>
  <c r="D654" i="13"/>
  <c r="G653" i="13"/>
  <c r="E947" i="20"/>
  <c r="F947" i="20" s="1"/>
  <c r="E1659" i="20"/>
  <c r="F1659" i="20" s="1"/>
  <c r="E683" i="20"/>
  <c r="F683" i="20" s="1"/>
  <c r="E2017" i="20"/>
  <c r="F2017" i="20" s="1"/>
  <c r="H1037" i="20"/>
  <c r="H1837" i="20"/>
  <c r="E141" i="13"/>
  <c r="F141" i="13" s="1"/>
  <c r="D142" i="13" s="1"/>
  <c r="H1694" i="13"/>
  <c r="I1694" i="13"/>
  <c r="H919" i="13"/>
  <c r="I919" i="13"/>
  <c r="E234" i="20"/>
  <c r="F234" i="20" s="1"/>
  <c r="E1038" i="20"/>
  <c r="F1038" i="20" s="1"/>
  <c r="D1039" i="20" s="1"/>
  <c r="E1436" i="13"/>
  <c r="F1436" i="13" s="1"/>
  <c r="E1127" i="20"/>
  <c r="F1127" i="20" s="1"/>
  <c r="D1128" i="20" s="1"/>
  <c r="E1838" i="20"/>
  <c r="F1838" i="20" s="1"/>
  <c r="D1839" i="20" s="1"/>
  <c r="E1608" i="13"/>
  <c r="F1608" i="13" s="1"/>
  <c r="D1609" i="13" s="1"/>
  <c r="E1873" i="13"/>
  <c r="F1873" i="13" s="1"/>
  <c r="D1874" i="13" s="1"/>
  <c r="H324" i="20"/>
  <c r="I1125" i="20"/>
  <c r="G1037" i="20"/>
  <c r="H946" i="20"/>
  <c r="H1006" i="13"/>
  <c r="I1006" i="13"/>
  <c r="J311" i="13"/>
  <c r="H1658" i="20"/>
  <c r="H1126" i="20"/>
  <c r="H682" i="20"/>
  <c r="G1837" i="20"/>
  <c r="H2016" i="20"/>
  <c r="I772" i="20"/>
  <c r="H1782" i="13"/>
  <c r="I1782" i="13"/>
  <c r="E1394" i="20"/>
  <c r="F1394" i="20" s="1"/>
  <c r="E1695" i="13"/>
  <c r="F1695" i="13" s="1"/>
  <c r="D1696" i="13" s="1"/>
  <c r="E920" i="13"/>
  <c r="F920" i="13" s="1"/>
  <c r="H223" i="13"/>
  <c r="I223" i="13"/>
  <c r="E856" i="20"/>
  <c r="F856" i="20" s="1"/>
  <c r="E325" i="20"/>
  <c r="F325" i="20" s="1"/>
  <c r="E1353" i="13"/>
  <c r="F1353" i="13" s="1"/>
  <c r="D1354" i="13" s="1"/>
  <c r="H140" i="13"/>
  <c r="I140" i="13"/>
  <c r="E1524" i="13"/>
  <c r="F1524" i="13" s="1"/>
  <c r="E1176" i="13"/>
  <c r="F1176" i="13" s="1"/>
  <c r="D1177" i="13" s="1"/>
  <c r="E486" i="13"/>
  <c r="F486" i="13" s="1"/>
  <c r="D487" i="13" s="1"/>
  <c r="G324" i="20"/>
  <c r="H146" i="20"/>
  <c r="J833" i="13"/>
  <c r="G1352" i="13"/>
  <c r="G1435" i="13"/>
  <c r="G946" i="20"/>
  <c r="H652" i="13"/>
  <c r="I652" i="13"/>
  <c r="I681" i="20"/>
  <c r="I1926" i="20"/>
  <c r="G1658" i="20"/>
  <c r="G1126" i="20"/>
  <c r="G682" i="20"/>
  <c r="J1434" i="13"/>
  <c r="G2016" i="20"/>
  <c r="G1607" i="13"/>
  <c r="E773" i="20"/>
  <c r="F773" i="20" s="1"/>
  <c r="E1783" i="13"/>
  <c r="F1783" i="13" s="1"/>
  <c r="H1523" i="13"/>
  <c r="I1523" i="13"/>
  <c r="H1175" i="13"/>
  <c r="I1175" i="13"/>
  <c r="I233" i="20"/>
  <c r="E224" i="13"/>
  <c r="F224" i="13" s="1"/>
  <c r="D225" i="13" s="1"/>
  <c r="H485" i="13"/>
  <c r="I485" i="13"/>
  <c r="E499" i="20"/>
  <c r="F499" i="20" s="1"/>
  <c r="D500" i="20" s="1"/>
  <c r="E252" i="2" l="1"/>
  <c r="H749" i="13"/>
  <c r="I1007" i="13"/>
  <c r="J1007" i="13" s="1"/>
  <c r="I1872" i="13"/>
  <c r="J1872" i="13" s="1"/>
  <c r="I146" i="20"/>
  <c r="I1215" i="20"/>
  <c r="D257" i="2"/>
  <c r="B254" i="2"/>
  <c r="B255" i="2" s="1"/>
  <c r="I1093" i="13"/>
  <c r="J1093" i="13" s="1"/>
  <c r="D2018" i="20"/>
  <c r="E2018" i="20" s="1"/>
  <c r="F2018" i="20" s="1"/>
  <c r="H2017" i="20"/>
  <c r="G1094" i="13"/>
  <c r="H1094" i="13" s="1"/>
  <c r="G1608" i="13"/>
  <c r="H1608" i="13" s="1"/>
  <c r="D1784" i="13"/>
  <c r="E1784" i="13" s="1"/>
  <c r="F1784" i="13" s="1"/>
  <c r="D1785" i="13" s="1"/>
  <c r="G1783" i="13"/>
  <c r="H1783" i="13" s="1"/>
  <c r="D1660" i="20"/>
  <c r="G1659" i="20"/>
  <c r="H1659" i="20"/>
  <c r="D774" i="20"/>
  <c r="E774" i="20" s="1"/>
  <c r="F774" i="20" s="1"/>
  <c r="D775" i="20" s="1"/>
  <c r="G773" i="20"/>
  <c r="D948" i="20"/>
  <c r="E948" i="20" s="1"/>
  <c r="F948" i="20" s="1"/>
  <c r="G947" i="20"/>
  <c r="H947" i="20"/>
  <c r="G2017" i="20"/>
  <c r="E1095" i="13"/>
  <c r="F1095" i="13" s="1"/>
  <c r="D1096" i="13" s="1"/>
  <c r="J485" i="13"/>
  <c r="J1523" i="13"/>
  <c r="J919" i="13"/>
  <c r="I1483" i="20"/>
  <c r="I1301" i="20"/>
  <c r="I324" i="20"/>
  <c r="J1175" i="13"/>
  <c r="I1837" i="20"/>
  <c r="I1126" i="20"/>
  <c r="I1037" i="20"/>
  <c r="I1748" i="20"/>
  <c r="I413" i="20"/>
  <c r="D1395" i="20"/>
  <c r="H1394" i="20"/>
  <c r="G1394" i="20"/>
  <c r="D1009" i="13"/>
  <c r="G1008" i="13"/>
  <c r="D326" i="20"/>
  <c r="H325" i="20"/>
  <c r="G325" i="20"/>
  <c r="D921" i="13"/>
  <c r="G920" i="13"/>
  <c r="D1217" i="20"/>
  <c r="H1216" i="20"/>
  <c r="G1216" i="20"/>
  <c r="D751" i="13"/>
  <c r="G750" i="13"/>
  <c r="D235" i="20"/>
  <c r="G234" i="20"/>
  <c r="H234" i="20"/>
  <c r="D1525" i="13"/>
  <c r="G1524" i="13"/>
  <c r="D1437" i="13"/>
  <c r="G1436" i="13"/>
  <c r="D857" i="20"/>
  <c r="H856" i="20"/>
  <c r="G856" i="20"/>
  <c r="D148" i="20"/>
  <c r="H147" i="20"/>
  <c r="D684" i="20"/>
  <c r="H683" i="20"/>
  <c r="G683" i="20"/>
  <c r="E500" i="20"/>
  <c r="F500" i="20" s="1"/>
  <c r="D501" i="20" s="1"/>
  <c r="E835" i="13"/>
  <c r="F835" i="13" s="1"/>
  <c r="D836" i="13" s="1"/>
  <c r="I1658" i="20"/>
  <c r="E1609" i="13"/>
  <c r="F1609" i="13" s="1"/>
  <c r="H1038" i="20"/>
  <c r="E142" i="13"/>
  <c r="F142" i="13" s="1"/>
  <c r="D143" i="13" s="1"/>
  <c r="E654" i="13"/>
  <c r="F654" i="13" s="1"/>
  <c r="I1927" i="20"/>
  <c r="E225" i="13"/>
  <c r="F225" i="13" s="1"/>
  <c r="E1874" i="13"/>
  <c r="F1874" i="13" s="1"/>
  <c r="D1875" i="13" s="1"/>
  <c r="E1128" i="20"/>
  <c r="F1128" i="20" s="1"/>
  <c r="E1263" i="13"/>
  <c r="F1263" i="13" s="1"/>
  <c r="I2016" i="20"/>
  <c r="H499" i="20"/>
  <c r="G224" i="13"/>
  <c r="H1435" i="13"/>
  <c r="I1435" i="13"/>
  <c r="G1176" i="13"/>
  <c r="J140" i="13"/>
  <c r="G1873" i="13"/>
  <c r="H1838" i="20"/>
  <c r="H1127" i="20"/>
  <c r="G1038" i="20"/>
  <c r="G141" i="13"/>
  <c r="E1660" i="20"/>
  <c r="H1954" i="13"/>
  <c r="I1954" i="13"/>
  <c r="E1928" i="20"/>
  <c r="F1928" i="20" s="1"/>
  <c r="I1579" i="20"/>
  <c r="E1749" i="20"/>
  <c r="F1749" i="20" s="1"/>
  <c r="E414" i="20"/>
  <c r="F414" i="20" s="1"/>
  <c r="E1177" i="13"/>
  <c r="F1177" i="13" s="1"/>
  <c r="D1178" i="13" s="1"/>
  <c r="E1354" i="13"/>
  <c r="F1354" i="13" s="1"/>
  <c r="E1696" i="13"/>
  <c r="F1696" i="13" s="1"/>
  <c r="E1839" i="20"/>
  <c r="F1839" i="20" s="1"/>
  <c r="D1840" i="20" s="1"/>
  <c r="E1039" i="20"/>
  <c r="F1039" i="20" s="1"/>
  <c r="D1040" i="20" s="1"/>
  <c r="H653" i="13"/>
  <c r="I653" i="13"/>
  <c r="E405" i="13"/>
  <c r="F405" i="13" s="1"/>
  <c r="E314" i="13"/>
  <c r="F314" i="13" s="1"/>
  <c r="D315" i="13" s="1"/>
  <c r="E487" i="13"/>
  <c r="F487" i="13" s="1"/>
  <c r="D488" i="13" s="1"/>
  <c r="G1353" i="13"/>
  <c r="G1695" i="13"/>
  <c r="I946" i="20"/>
  <c r="G499" i="20"/>
  <c r="H773" i="20"/>
  <c r="H1607" i="13"/>
  <c r="I1607" i="13"/>
  <c r="J652" i="13"/>
  <c r="H1352" i="13"/>
  <c r="I1352" i="13"/>
  <c r="G486" i="13"/>
  <c r="J223" i="13"/>
  <c r="J1782" i="13"/>
  <c r="I682" i="20"/>
  <c r="J1006" i="13"/>
  <c r="G1838" i="20"/>
  <c r="G1127" i="20"/>
  <c r="J749" i="13"/>
  <c r="J1694" i="13"/>
  <c r="E1955" i="13"/>
  <c r="F1955" i="13" s="1"/>
  <c r="H1262" i="13"/>
  <c r="I1262" i="13"/>
  <c r="E1580" i="20"/>
  <c r="F1580" i="20" s="1"/>
  <c r="H404" i="13"/>
  <c r="I404" i="13"/>
  <c r="H834" i="13"/>
  <c r="I834" i="13"/>
  <c r="E1484" i="20"/>
  <c r="F1484" i="20" s="1"/>
  <c r="H313" i="13"/>
  <c r="I313" i="13"/>
  <c r="E1302" i="20"/>
  <c r="F1302" i="20" s="1"/>
  <c r="F1660" i="20" l="1"/>
  <c r="D1661" i="20" s="1"/>
  <c r="I1094" i="13"/>
  <c r="J1094" i="13" s="1"/>
  <c r="I1783" i="13"/>
  <c r="J1783" i="13" s="1"/>
  <c r="I2017" i="20"/>
  <c r="I1659" i="20"/>
  <c r="I947" i="20"/>
  <c r="I773" i="20"/>
  <c r="I1608" i="13"/>
  <c r="J1608" i="13" s="1"/>
  <c r="D359" i="2"/>
  <c r="B256" i="2"/>
  <c r="B257" i="2" s="1"/>
  <c r="C19" i="13" s="1"/>
  <c r="D415" i="20"/>
  <c r="G414" i="20"/>
  <c r="D1929" i="20"/>
  <c r="E1929" i="20" s="1"/>
  <c r="F1929" i="20" s="1"/>
  <c r="G1928" i="20"/>
  <c r="G1095" i="13"/>
  <c r="G1177" i="13"/>
  <c r="H1177" i="13" s="1"/>
  <c r="E1096" i="13"/>
  <c r="F1096" i="13" s="1"/>
  <c r="D1097" i="13" s="1"/>
  <c r="J1607" i="13"/>
  <c r="J1435" i="13"/>
  <c r="J404" i="13"/>
  <c r="J653" i="13"/>
  <c r="I856" i="20"/>
  <c r="I1216" i="20"/>
  <c r="I1838" i="20"/>
  <c r="J313" i="13"/>
  <c r="J1352" i="13"/>
  <c r="I234" i="20"/>
  <c r="D226" i="13"/>
  <c r="G225" i="13"/>
  <c r="D1956" i="13"/>
  <c r="G1955" i="13"/>
  <c r="D1610" i="13"/>
  <c r="G1609" i="13"/>
  <c r="D1303" i="20"/>
  <c r="G1302" i="20"/>
  <c r="H1302" i="20"/>
  <c r="D1697" i="13"/>
  <c r="G1696" i="13"/>
  <c r="D1129" i="20"/>
  <c r="H1128" i="20"/>
  <c r="G1128" i="20"/>
  <c r="D406" i="13"/>
  <c r="G405" i="13"/>
  <c r="D1355" i="13"/>
  <c r="G1354" i="13"/>
  <c r="D949" i="20"/>
  <c r="H948" i="20"/>
  <c r="G948" i="20"/>
  <c r="D1485" i="20"/>
  <c r="H1484" i="20"/>
  <c r="G1484" i="20"/>
  <c r="D1264" i="13"/>
  <c r="G1263" i="13"/>
  <c r="D655" i="13"/>
  <c r="G654" i="13"/>
  <c r="D1581" i="20"/>
  <c r="H1580" i="20"/>
  <c r="G1580" i="20"/>
  <c r="D2019" i="20"/>
  <c r="G2018" i="20"/>
  <c r="H2018" i="20"/>
  <c r="D1750" i="20"/>
  <c r="G1749" i="20"/>
  <c r="H1749" i="20"/>
  <c r="E501" i="20"/>
  <c r="F501" i="20" s="1"/>
  <c r="H141" i="13"/>
  <c r="I141" i="13"/>
  <c r="E1785" i="13"/>
  <c r="F1785" i="13" s="1"/>
  <c r="E1875" i="13"/>
  <c r="F1875" i="13" s="1"/>
  <c r="D1876" i="13" s="1"/>
  <c r="E857" i="20"/>
  <c r="F857" i="20" s="1"/>
  <c r="D858" i="20" s="1"/>
  <c r="E1525" i="13"/>
  <c r="F1525" i="13" s="1"/>
  <c r="H750" i="13"/>
  <c r="I750" i="13"/>
  <c r="E1217" i="20"/>
  <c r="F1217" i="20" s="1"/>
  <c r="I325" i="20"/>
  <c r="H486" i="13"/>
  <c r="I486" i="13"/>
  <c r="E488" i="13"/>
  <c r="F488" i="13" s="1"/>
  <c r="E315" i="13"/>
  <c r="F315" i="13" s="1"/>
  <c r="D316" i="13" s="1"/>
  <c r="E1840" i="20"/>
  <c r="F1840" i="20" s="1"/>
  <c r="E1661" i="20"/>
  <c r="F1661" i="20" s="1"/>
  <c r="D1662" i="20" s="1"/>
  <c r="E143" i="13"/>
  <c r="F143" i="13" s="1"/>
  <c r="E836" i="13"/>
  <c r="F836" i="13" s="1"/>
  <c r="E684" i="20"/>
  <c r="F684" i="20" s="1"/>
  <c r="D685" i="20" s="1"/>
  <c r="H1524" i="13"/>
  <c r="I1524" i="13"/>
  <c r="E1178" i="13"/>
  <c r="F1178" i="13" s="1"/>
  <c r="H1660" i="20"/>
  <c r="H1353" i="13"/>
  <c r="I1353" i="13"/>
  <c r="H774" i="20"/>
  <c r="G314" i="13"/>
  <c r="H1039" i="20"/>
  <c r="H1839" i="20"/>
  <c r="G1660" i="20"/>
  <c r="H224" i="13"/>
  <c r="I224" i="13"/>
  <c r="G1784" i="13"/>
  <c r="I1038" i="20"/>
  <c r="H500" i="20"/>
  <c r="E148" i="20"/>
  <c r="F148" i="20" s="1"/>
  <c r="H1436" i="13"/>
  <c r="I1436" i="13"/>
  <c r="E751" i="13"/>
  <c r="F751" i="13" s="1"/>
  <c r="H920" i="13"/>
  <c r="I920" i="13"/>
  <c r="E326" i="20"/>
  <c r="F326" i="20" s="1"/>
  <c r="I1394" i="20"/>
  <c r="E775" i="20"/>
  <c r="F775" i="20" s="1"/>
  <c r="E1040" i="20"/>
  <c r="F1040" i="20" s="1"/>
  <c r="E235" i="20"/>
  <c r="F235" i="20" s="1"/>
  <c r="E1009" i="13"/>
  <c r="F1009" i="13" s="1"/>
  <c r="D1010" i="13" s="1"/>
  <c r="H1695" i="13"/>
  <c r="I1695" i="13"/>
  <c r="E415" i="20"/>
  <c r="F415" i="20" s="1"/>
  <c r="H1873" i="13"/>
  <c r="I1873" i="13"/>
  <c r="J834" i="13"/>
  <c r="J1262" i="13"/>
  <c r="G487" i="13"/>
  <c r="G774" i="20"/>
  <c r="G1039" i="20"/>
  <c r="G1839" i="20"/>
  <c r="H414" i="20"/>
  <c r="H1928" i="20"/>
  <c r="J1954" i="13"/>
  <c r="I1127" i="20"/>
  <c r="H1176" i="13"/>
  <c r="I1176" i="13"/>
  <c r="I499" i="20"/>
  <c r="G1874" i="13"/>
  <c r="G142" i="13"/>
  <c r="G835" i="13"/>
  <c r="G500" i="20"/>
  <c r="I683" i="20"/>
  <c r="E1437" i="13"/>
  <c r="F1437" i="13" s="1"/>
  <c r="D1438" i="13" s="1"/>
  <c r="E921" i="13"/>
  <c r="F921" i="13" s="1"/>
  <c r="H1008" i="13"/>
  <c r="I1008" i="13"/>
  <c r="E1395" i="20"/>
  <c r="F1395" i="20" s="1"/>
  <c r="D1396" i="20" s="1"/>
  <c r="D258" i="2" l="1"/>
  <c r="I1177" i="13"/>
  <c r="I414" i="20"/>
  <c r="C16" i="20"/>
  <c r="C16" i="13"/>
  <c r="B258" i="2"/>
  <c r="I1928" i="20"/>
  <c r="C19" i="20"/>
  <c r="G1096" i="13"/>
  <c r="I1096" i="13" s="1"/>
  <c r="D144" i="13"/>
  <c r="E144" i="13" s="1"/>
  <c r="F144" i="13" s="1"/>
  <c r="G143" i="13"/>
  <c r="H143" i="13" s="1"/>
  <c r="D236" i="20"/>
  <c r="E236" i="20" s="1"/>
  <c r="F236" i="20" s="1"/>
  <c r="H235" i="20"/>
  <c r="D1930" i="20"/>
  <c r="E1930" i="20" s="1"/>
  <c r="F1930" i="20" s="1"/>
  <c r="H1929" i="20"/>
  <c r="D1179" i="13"/>
  <c r="E1179" i="13" s="1"/>
  <c r="F1179" i="13" s="1"/>
  <c r="G1178" i="13"/>
  <c r="H1178" i="13" s="1"/>
  <c r="D1841" i="20"/>
  <c r="E1841" i="20" s="1"/>
  <c r="F1841" i="20" s="1"/>
  <c r="D1842" i="20" s="1"/>
  <c r="G1840" i="20"/>
  <c r="G1875" i="13"/>
  <c r="H1875" i="13" s="1"/>
  <c r="E1097" i="13"/>
  <c r="F1097" i="13" s="1"/>
  <c r="G1661" i="20"/>
  <c r="I1095" i="13"/>
  <c r="H1095" i="13"/>
  <c r="J1873" i="13"/>
  <c r="J920" i="13"/>
  <c r="J1353" i="13"/>
  <c r="J486" i="13"/>
  <c r="J750" i="13"/>
  <c r="J1177" i="13"/>
  <c r="I948" i="20"/>
  <c r="J1176" i="13"/>
  <c r="J1436" i="13"/>
  <c r="I774" i="20"/>
  <c r="I2018" i="20"/>
  <c r="D149" i="20"/>
  <c r="H148" i="20"/>
  <c r="G148" i="20"/>
  <c r="D922" i="13"/>
  <c r="G921" i="13"/>
  <c r="D837" i="13"/>
  <c r="G836" i="13"/>
  <c r="D1218" i="20"/>
  <c r="G1217" i="20"/>
  <c r="H1217" i="20"/>
  <c r="D752" i="13"/>
  <c r="G751" i="13"/>
  <c r="D327" i="20"/>
  <c r="H326" i="20"/>
  <c r="G326" i="20"/>
  <c r="D776" i="20"/>
  <c r="H775" i="20"/>
  <c r="G775" i="20"/>
  <c r="D489" i="13"/>
  <c r="G488" i="13"/>
  <c r="D502" i="20"/>
  <c r="G501" i="20"/>
  <c r="H501" i="20"/>
  <c r="D416" i="20"/>
  <c r="H415" i="20"/>
  <c r="G415" i="20"/>
  <c r="D1786" i="13"/>
  <c r="G1785" i="13"/>
  <c r="D1041" i="20"/>
  <c r="H1040" i="20"/>
  <c r="G1040" i="20"/>
  <c r="D1526" i="13"/>
  <c r="G1525" i="13"/>
  <c r="E1438" i="13"/>
  <c r="F1438" i="13" s="1"/>
  <c r="E316" i="13"/>
  <c r="F316" i="13" s="1"/>
  <c r="H654" i="13"/>
  <c r="I654" i="13"/>
  <c r="E1129" i="20"/>
  <c r="F1129" i="20" s="1"/>
  <c r="D1130" i="20" s="1"/>
  <c r="H1955" i="13"/>
  <c r="I1955" i="13"/>
  <c r="H1395" i="20"/>
  <c r="J1008" i="13"/>
  <c r="H1874" i="13"/>
  <c r="I1874" i="13"/>
  <c r="G235" i="20"/>
  <c r="H1784" i="13"/>
  <c r="I1784" i="13"/>
  <c r="I1839" i="20"/>
  <c r="G1929" i="20"/>
  <c r="H684" i="20"/>
  <c r="E1662" i="20"/>
  <c r="F1662" i="20" s="1"/>
  <c r="D1663" i="20" s="1"/>
  <c r="H857" i="20"/>
  <c r="E1750" i="20"/>
  <c r="F1750" i="20" s="1"/>
  <c r="E655" i="13"/>
  <c r="F655" i="13" s="1"/>
  <c r="D656" i="13" s="1"/>
  <c r="I1484" i="20"/>
  <c r="E949" i="20"/>
  <c r="F949" i="20" s="1"/>
  <c r="E406" i="13"/>
  <c r="F406" i="13" s="1"/>
  <c r="D407" i="13" s="1"/>
  <c r="H1696" i="13"/>
  <c r="I1696" i="13"/>
  <c r="E1303" i="20"/>
  <c r="F1303" i="20" s="1"/>
  <c r="D1304" i="20" s="1"/>
  <c r="E1956" i="13"/>
  <c r="F1956" i="13" s="1"/>
  <c r="E1396" i="20"/>
  <c r="F1396" i="20" s="1"/>
  <c r="E685" i="20"/>
  <c r="F685" i="20" s="1"/>
  <c r="D686" i="20" s="1"/>
  <c r="E858" i="20"/>
  <c r="F858" i="20" s="1"/>
  <c r="D859" i="20" s="1"/>
  <c r="E2019" i="20"/>
  <c r="F2019" i="20" s="1"/>
  <c r="H405" i="13"/>
  <c r="I405" i="13"/>
  <c r="G1395" i="20"/>
  <c r="H487" i="13"/>
  <c r="I487" i="13"/>
  <c r="G1009" i="13"/>
  <c r="J224" i="13"/>
  <c r="I1039" i="20"/>
  <c r="G684" i="20"/>
  <c r="G857" i="20"/>
  <c r="E1876" i="13"/>
  <c r="F1876" i="13" s="1"/>
  <c r="I1580" i="20"/>
  <c r="H1263" i="13"/>
  <c r="I1263" i="13"/>
  <c r="E1485" i="20"/>
  <c r="F1485" i="20" s="1"/>
  <c r="H1354" i="13"/>
  <c r="I1354" i="13"/>
  <c r="E1697" i="13"/>
  <c r="F1697" i="13" s="1"/>
  <c r="H1609" i="13"/>
  <c r="I1609" i="13"/>
  <c r="H225" i="13"/>
  <c r="I225" i="13"/>
  <c r="H142" i="13"/>
  <c r="I142" i="13"/>
  <c r="G1437" i="13"/>
  <c r="H835" i="13"/>
  <c r="I835" i="13"/>
  <c r="J1695" i="13"/>
  <c r="E1010" i="13"/>
  <c r="F1010" i="13" s="1"/>
  <c r="I500" i="20"/>
  <c r="H314" i="13"/>
  <c r="I314" i="13"/>
  <c r="I1660" i="20"/>
  <c r="J1524" i="13"/>
  <c r="H1661" i="20"/>
  <c r="H1840" i="20"/>
  <c r="G315" i="13"/>
  <c r="J141" i="13"/>
  <c r="I1749" i="20"/>
  <c r="E1581" i="20"/>
  <c r="F1581" i="20" s="1"/>
  <c r="D1582" i="20" s="1"/>
  <c r="E1264" i="13"/>
  <c r="F1264" i="13" s="1"/>
  <c r="D1265" i="13" s="1"/>
  <c r="E1355" i="13"/>
  <c r="F1355" i="13" s="1"/>
  <c r="D1356" i="13" s="1"/>
  <c r="I1128" i="20"/>
  <c r="I1302" i="20"/>
  <c r="E1610" i="13"/>
  <c r="F1610" i="13" s="1"/>
  <c r="E226" i="13"/>
  <c r="F226" i="13" s="1"/>
  <c r="H1096" i="13" l="1"/>
  <c r="I1875" i="13"/>
  <c r="J1875" i="13" s="1"/>
  <c r="I1178" i="13"/>
  <c r="J1178" i="13" s="1"/>
  <c r="I1840" i="20"/>
  <c r="I1661" i="20"/>
  <c r="I235" i="20"/>
  <c r="I1929" i="20"/>
  <c r="I143" i="13"/>
  <c r="J143" i="13" s="1"/>
  <c r="B260" i="2"/>
  <c r="B77" i="41"/>
  <c r="E205" i="2"/>
  <c r="D191" i="2"/>
  <c r="G1355" i="13"/>
  <c r="H1355" i="13" s="1"/>
  <c r="G858" i="20"/>
  <c r="D1011" i="13"/>
  <c r="E1011" i="13" s="1"/>
  <c r="F1011" i="13" s="1"/>
  <c r="D1012" i="13" s="1"/>
  <c r="G1010" i="13"/>
  <c r="H1010" i="13" s="1"/>
  <c r="D1877" i="13"/>
  <c r="E1877" i="13" s="1"/>
  <c r="F1877" i="13" s="1"/>
  <c r="G1876" i="13"/>
  <c r="H1876" i="13" s="1"/>
  <c r="D1751" i="20"/>
  <c r="E1751" i="20" s="1"/>
  <c r="F1751" i="20" s="1"/>
  <c r="G1750" i="20"/>
  <c r="D1957" i="13"/>
  <c r="G1956" i="13"/>
  <c r="H1956" i="13" s="1"/>
  <c r="D1439" i="13"/>
  <c r="E1439" i="13" s="1"/>
  <c r="F1439" i="13" s="1"/>
  <c r="D1440" i="13" s="1"/>
  <c r="G1438" i="13"/>
  <c r="I1438" i="13" s="1"/>
  <c r="D1098" i="13"/>
  <c r="G1097" i="13"/>
  <c r="D227" i="13"/>
  <c r="E227" i="13" s="1"/>
  <c r="F227" i="13" s="1"/>
  <c r="D228" i="13" s="1"/>
  <c r="G226" i="13"/>
  <c r="I226" i="13" s="1"/>
  <c r="D1931" i="20"/>
  <c r="E1931" i="20" s="1"/>
  <c r="F1931" i="20" s="1"/>
  <c r="H1930" i="20"/>
  <c r="G1930" i="20"/>
  <c r="D237" i="20"/>
  <c r="E237" i="20" s="1"/>
  <c r="F237" i="20" s="1"/>
  <c r="G236" i="20"/>
  <c r="H236" i="20"/>
  <c r="D950" i="20"/>
  <c r="E950" i="20" s="1"/>
  <c r="F950" i="20" s="1"/>
  <c r="D951" i="20" s="1"/>
  <c r="G949" i="20"/>
  <c r="J1096" i="13"/>
  <c r="G685" i="20"/>
  <c r="J1095" i="13"/>
  <c r="J835" i="13"/>
  <c r="J405" i="13"/>
  <c r="I1217" i="20"/>
  <c r="J1874" i="13"/>
  <c r="J1955" i="13"/>
  <c r="J654" i="13"/>
  <c r="I501" i="20"/>
  <c r="J314" i="13"/>
  <c r="J225" i="13"/>
  <c r="J1263" i="13"/>
  <c r="J487" i="13"/>
  <c r="J1696" i="13"/>
  <c r="J1354" i="13"/>
  <c r="D2020" i="20"/>
  <c r="H2019" i="20"/>
  <c r="G2019" i="20"/>
  <c r="D1397" i="20"/>
  <c r="H1396" i="20"/>
  <c r="G1396" i="20"/>
  <c r="D1486" i="20"/>
  <c r="G1485" i="20"/>
  <c r="H1485" i="20"/>
  <c r="D1180" i="13"/>
  <c r="G1179" i="13"/>
  <c r="D1611" i="13"/>
  <c r="G1610" i="13"/>
  <c r="D1698" i="13"/>
  <c r="G1697" i="13"/>
  <c r="D145" i="13"/>
  <c r="G144" i="13"/>
  <c r="D317" i="13"/>
  <c r="G316" i="13"/>
  <c r="E1582" i="20"/>
  <c r="F1582" i="20" s="1"/>
  <c r="E1663" i="20"/>
  <c r="F1663" i="20" s="1"/>
  <c r="D1664" i="20" s="1"/>
  <c r="H751" i="13"/>
  <c r="I751" i="13"/>
  <c r="E686" i="20"/>
  <c r="F686" i="20" s="1"/>
  <c r="E1957" i="13"/>
  <c r="F1957" i="13" s="1"/>
  <c r="D1958" i="13" s="1"/>
  <c r="G406" i="13"/>
  <c r="G655" i="13"/>
  <c r="I857" i="20"/>
  <c r="I684" i="20"/>
  <c r="E1786" i="13"/>
  <c r="F1786" i="13" s="1"/>
  <c r="E489" i="13"/>
  <c r="F489" i="13" s="1"/>
  <c r="E752" i="13"/>
  <c r="F752" i="13" s="1"/>
  <c r="H836" i="13"/>
  <c r="I836" i="13"/>
  <c r="H315" i="13"/>
  <c r="I315" i="13"/>
  <c r="E407" i="13"/>
  <c r="F407" i="13" s="1"/>
  <c r="H1785" i="13"/>
  <c r="I1785" i="13"/>
  <c r="H488" i="13"/>
  <c r="I488" i="13"/>
  <c r="E922" i="13"/>
  <c r="F922" i="13" s="1"/>
  <c r="H1009" i="13"/>
  <c r="I1009" i="13"/>
  <c r="H1437" i="13"/>
  <c r="I1437" i="13"/>
  <c r="H1303" i="20"/>
  <c r="H1841" i="20"/>
  <c r="H1662" i="20"/>
  <c r="H1129" i="20"/>
  <c r="I1040" i="20"/>
  <c r="I326" i="20"/>
  <c r="E837" i="13"/>
  <c r="F837" i="13" s="1"/>
  <c r="I148" i="20"/>
  <c r="E1265" i="13"/>
  <c r="F1265" i="13" s="1"/>
  <c r="D1266" i="13" s="1"/>
  <c r="E1304" i="20"/>
  <c r="F1304" i="20" s="1"/>
  <c r="E656" i="13"/>
  <c r="F656" i="13" s="1"/>
  <c r="E1842" i="20"/>
  <c r="F1842" i="20" s="1"/>
  <c r="E1130" i="20"/>
  <c r="F1130" i="20" s="1"/>
  <c r="E1526" i="13"/>
  <c r="F1526" i="13" s="1"/>
  <c r="D1527" i="13" s="1"/>
  <c r="E416" i="20"/>
  <c r="F416" i="20" s="1"/>
  <c r="E776" i="20"/>
  <c r="F776" i="20" s="1"/>
  <c r="E1218" i="20"/>
  <c r="F1218" i="20" s="1"/>
  <c r="E1356" i="13"/>
  <c r="F1356" i="13" s="1"/>
  <c r="E859" i="20"/>
  <c r="F859" i="20" s="1"/>
  <c r="H1581" i="20"/>
  <c r="G1264" i="13"/>
  <c r="G1581" i="20"/>
  <c r="J142" i="13"/>
  <c r="J1609" i="13"/>
  <c r="H858" i="20"/>
  <c r="H685" i="20"/>
  <c r="G1303" i="20"/>
  <c r="H949" i="20"/>
  <c r="H1750" i="20"/>
  <c r="G1841" i="20"/>
  <c r="G1662" i="20"/>
  <c r="J1784" i="13"/>
  <c r="I1395" i="20"/>
  <c r="G1129" i="20"/>
  <c r="H1525" i="13"/>
  <c r="I1525" i="13"/>
  <c r="E1041" i="20"/>
  <c r="F1041" i="20" s="1"/>
  <c r="I415" i="20"/>
  <c r="E502" i="20"/>
  <c r="F502" i="20" s="1"/>
  <c r="I775" i="20"/>
  <c r="E327" i="20"/>
  <c r="F327" i="20" s="1"/>
  <c r="H921" i="13"/>
  <c r="I921" i="13"/>
  <c r="E149" i="20"/>
  <c r="F149" i="20" s="1"/>
  <c r="D150" i="20" s="1"/>
  <c r="H1438" i="13" l="1"/>
  <c r="J1438" i="13" s="1"/>
  <c r="I1010" i="13"/>
  <c r="J1010" i="13" s="1"/>
  <c r="H226" i="13"/>
  <c r="J226" i="13" s="1"/>
  <c r="I1750" i="20"/>
  <c r="I1355" i="13"/>
  <c r="J1355" i="13" s="1"/>
  <c r="I1930" i="20"/>
  <c r="I949" i="20"/>
  <c r="I236" i="20"/>
  <c r="I1876" i="13"/>
  <c r="J1876" i="13" s="1"/>
  <c r="I1956" i="13"/>
  <c r="J1956" i="13" s="1"/>
  <c r="I685" i="20"/>
  <c r="I858" i="20"/>
  <c r="D1219" i="20"/>
  <c r="E1219" i="20" s="1"/>
  <c r="F1219" i="20" s="1"/>
  <c r="G1218" i="20"/>
  <c r="D1787" i="13"/>
  <c r="E1787" i="13" s="1"/>
  <c r="F1787" i="13" s="1"/>
  <c r="G1786" i="13"/>
  <c r="H1786" i="13" s="1"/>
  <c r="D923" i="13"/>
  <c r="G922" i="13"/>
  <c r="H1097" i="13"/>
  <c r="I1097" i="13"/>
  <c r="G1663" i="20"/>
  <c r="E1098" i="13"/>
  <c r="F1098" i="13" s="1"/>
  <c r="J1525" i="13"/>
  <c r="J1785" i="13"/>
  <c r="J751" i="13"/>
  <c r="J921" i="13"/>
  <c r="J1009" i="13"/>
  <c r="J315" i="13"/>
  <c r="J836" i="13"/>
  <c r="I1581" i="20"/>
  <c r="D417" i="20"/>
  <c r="H416" i="20"/>
  <c r="G416" i="20"/>
  <c r="D490" i="13"/>
  <c r="G489" i="13"/>
  <c r="D328" i="20"/>
  <c r="H327" i="20"/>
  <c r="G327" i="20"/>
  <c r="D860" i="20"/>
  <c r="G859" i="20"/>
  <c r="H859" i="20"/>
  <c r="D1932" i="20"/>
  <c r="H1931" i="20"/>
  <c r="G1931" i="20"/>
  <c r="D687" i="20"/>
  <c r="G686" i="20"/>
  <c r="H686" i="20"/>
  <c r="D1131" i="20"/>
  <c r="G1130" i="20"/>
  <c r="H1130" i="20"/>
  <c r="D838" i="13"/>
  <c r="G837" i="13"/>
  <c r="D503" i="20"/>
  <c r="H502" i="20"/>
  <c r="G502" i="20"/>
  <c r="D1843" i="20"/>
  <c r="G1842" i="20"/>
  <c r="H1842" i="20"/>
  <c r="D1583" i="20"/>
  <c r="H1582" i="20"/>
  <c r="G1582" i="20"/>
  <c r="D1042" i="20"/>
  <c r="G1041" i="20"/>
  <c r="H1041" i="20"/>
  <c r="D1305" i="20"/>
  <c r="H1304" i="20"/>
  <c r="G1304" i="20"/>
  <c r="D1878" i="13"/>
  <c r="G1877" i="13"/>
  <c r="D753" i="13"/>
  <c r="G752" i="13"/>
  <c r="D1357" i="13"/>
  <c r="G1356" i="13"/>
  <c r="D1752" i="20"/>
  <c r="H1751" i="20"/>
  <c r="G1751" i="20"/>
  <c r="D777" i="20"/>
  <c r="H776" i="20"/>
  <c r="G776" i="20"/>
  <c r="D657" i="13"/>
  <c r="G656" i="13"/>
  <c r="D238" i="20"/>
  <c r="H237" i="20"/>
  <c r="G237" i="20"/>
  <c r="D408" i="13"/>
  <c r="G407" i="13"/>
  <c r="H655" i="13"/>
  <c r="I655" i="13"/>
  <c r="E1611" i="13"/>
  <c r="F1611" i="13" s="1"/>
  <c r="I1841" i="20"/>
  <c r="E1012" i="13"/>
  <c r="F1012" i="13" s="1"/>
  <c r="D1013" i="13" s="1"/>
  <c r="E923" i="13"/>
  <c r="F923" i="13" s="1"/>
  <c r="H950" i="20"/>
  <c r="H406" i="13"/>
  <c r="I406" i="13"/>
  <c r="E1664" i="20"/>
  <c r="F1664" i="20" s="1"/>
  <c r="D1665" i="20" s="1"/>
  <c r="H316" i="13"/>
  <c r="I316" i="13"/>
  <c r="H1697" i="13"/>
  <c r="I1697" i="13"/>
  <c r="H1179" i="13"/>
  <c r="I1179" i="13"/>
  <c r="E1486" i="20"/>
  <c r="F1486" i="20" s="1"/>
  <c r="D1487" i="20" s="1"/>
  <c r="E150" i="20"/>
  <c r="F150" i="20" s="1"/>
  <c r="D151" i="20" s="1"/>
  <c r="E228" i="13"/>
  <c r="F228" i="13" s="1"/>
  <c r="D229" i="13" s="1"/>
  <c r="E1527" i="13"/>
  <c r="F1527" i="13" s="1"/>
  <c r="D1528" i="13" s="1"/>
  <c r="I1662" i="20"/>
  <c r="E1440" i="13"/>
  <c r="F1440" i="13" s="1"/>
  <c r="E951" i="20"/>
  <c r="F951" i="20" s="1"/>
  <c r="E145" i="13"/>
  <c r="F145" i="13" s="1"/>
  <c r="D146" i="13" s="1"/>
  <c r="E1397" i="20"/>
  <c r="F1397" i="20" s="1"/>
  <c r="D1398" i="20" s="1"/>
  <c r="H149" i="20"/>
  <c r="I1303" i="20"/>
  <c r="J1437" i="13"/>
  <c r="G950" i="20"/>
  <c r="G1957" i="13"/>
  <c r="E317" i="13"/>
  <c r="F317" i="13" s="1"/>
  <c r="D318" i="13" s="1"/>
  <c r="E1698" i="13"/>
  <c r="F1698" i="13" s="1"/>
  <c r="E1180" i="13"/>
  <c r="F1180" i="13" s="1"/>
  <c r="I2019" i="20"/>
  <c r="E1266" i="13"/>
  <c r="F1266" i="13" s="1"/>
  <c r="H922" i="13"/>
  <c r="I922" i="13"/>
  <c r="E1958" i="13"/>
  <c r="F1958" i="13" s="1"/>
  <c r="G227" i="13"/>
  <c r="G149" i="20"/>
  <c r="H1264" i="13"/>
  <c r="I1264" i="13"/>
  <c r="H1218" i="20"/>
  <c r="G1526" i="13"/>
  <c r="G1265" i="13"/>
  <c r="I1129" i="20"/>
  <c r="G1011" i="13"/>
  <c r="J488" i="13"/>
  <c r="G1439" i="13"/>
  <c r="H1663" i="20"/>
  <c r="H144" i="13"/>
  <c r="I144" i="13"/>
  <c r="H1610" i="13"/>
  <c r="I1610" i="13"/>
  <c r="I1485" i="20"/>
  <c r="I1396" i="20"/>
  <c r="E2020" i="20"/>
  <c r="F2020" i="20" s="1"/>
  <c r="D2021" i="20" s="1"/>
  <c r="I1786" i="13" l="1"/>
  <c r="J1786" i="13" s="1"/>
  <c r="I1218" i="20"/>
  <c r="I1663" i="20"/>
  <c r="J1097" i="13"/>
  <c r="D1099" i="13"/>
  <c r="G1098" i="13"/>
  <c r="D1220" i="20"/>
  <c r="E1220" i="20" s="1"/>
  <c r="F1220" i="20" s="1"/>
  <c r="D1221" i="20" s="1"/>
  <c r="G1219" i="20"/>
  <c r="D924" i="13"/>
  <c r="E924" i="13" s="1"/>
  <c r="F924" i="13" s="1"/>
  <c r="G923" i="13"/>
  <c r="H923" i="13" s="1"/>
  <c r="G1527" i="13"/>
  <c r="I1527" i="13" s="1"/>
  <c r="H150" i="20"/>
  <c r="H1486" i="20"/>
  <c r="G1397" i="20"/>
  <c r="G145" i="13"/>
  <c r="H145" i="13" s="1"/>
  <c r="G228" i="13"/>
  <c r="H228" i="13" s="1"/>
  <c r="G150" i="20"/>
  <c r="G1486" i="20"/>
  <c r="J655" i="13"/>
  <c r="I1041" i="20"/>
  <c r="I1842" i="20"/>
  <c r="I1130" i="20"/>
  <c r="J1610" i="13"/>
  <c r="J1179" i="13"/>
  <c r="J316" i="13"/>
  <c r="J406" i="13"/>
  <c r="I1304" i="20"/>
  <c r="I502" i="20"/>
  <c r="J144" i="13"/>
  <c r="J922" i="13"/>
  <c r="J1697" i="13"/>
  <c r="I859" i="20"/>
  <c r="D1612" i="13"/>
  <c r="G1611" i="13"/>
  <c r="D1959" i="13"/>
  <c r="G1958" i="13"/>
  <c r="D1699" i="13"/>
  <c r="G1698" i="13"/>
  <c r="D952" i="20"/>
  <c r="G951" i="20"/>
  <c r="H951" i="20"/>
  <c r="D1788" i="13"/>
  <c r="G1787" i="13"/>
  <c r="D1181" i="13"/>
  <c r="G1180" i="13"/>
  <c r="D1267" i="13"/>
  <c r="G1266" i="13"/>
  <c r="D1441" i="13"/>
  <c r="G1440" i="13"/>
  <c r="E318" i="13"/>
  <c r="F318" i="13" s="1"/>
  <c r="E1932" i="20"/>
  <c r="F1932" i="20" s="1"/>
  <c r="D1933" i="20" s="1"/>
  <c r="I237" i="20"/>
  <c r="I1751" i="20"/>
  <c r="H1356" i="13"/>
  <c r="I1356" i="13"/>
  <c r="H1877" i="13"/>
  <c r="I1877" i="13"/>
  <c r="E1305" i="20"/>
  <c r="F1305" i="20" s="1"/>
  <c r="E503" i="20"/>
  <c r="F503" i="20" s="1"/>
  <c r="D504" i="20" s="1"/>
  <c r="E687" i="20"/>
  <c r="F687" i="20" s="1"/>
  <c r="I327" i="20"/>
  <c r="H1265" i="13"/>
  <c r="I1265" i="13"/>
  <c r="I950" i="20"/>
  <c r="E753" i="13"/>
  <c r="F753" i="13" s="1"/>
  <c r="E1042" i="20"/>
  <c r="F1042" i="20" s="1"/>
  <c r="D1043" i="20" s="1"/>
  <c r="E490" i="13"/>
  <c r="F490" i="13" s="1"/>
  <c r="D491" i="13" s="1"/>
  <c r="H1011" i="13"/>
  <c r="I1011" i="13"/>
  <c r="E1398" i="20"/>
  <c r="F1398" i="20" s="1"/>
  <c r="H227" i="13"/>
  <c r="I227" i="13"/>
  <c r="I149" i="20"/>
  <c r="E1528" i="13"/>
  <c r="F1528" i="13" s="1"/>
  <c r="D1529" i="13" s="1"/>
  <c r="E229" i="13"/>
  <c r="F229" i="13" s="1"/>
  <c r="E151" i="20"/>
  <c r="F151" i="20" s="1"/>
  <c r="E1487" i="20"/>
  <c r="F1487" i="20" s="1"/>
  <c r="H1664" i="20"/>
  <c r="H407" i="13"/>
  <c r="I407" i="13"/>
  <c r="E238" i="20"/>
  <c r="F238" i="20" s="1"/>
  <c r="I776" i="20"/>
  <c r="E1752" i="20"/>
  <c r="F1752" i="20" s="1"/>
  <c r="E1357" i="13"/>
  <c r="F1357" i="13" s="1"/>
  <c r="E1878" i="13"/>
  <c r="F1878" i="13" s="1"/>
  <c r="I1582" i="20"/>
  <c r="E1843" i="20"/>
  <c r="F1843" i="20" s="1"/>
  <c r="H837" i="13"/>
  <c r="I837" i="13"/>
  <c r="E1131" i="20"/>
  <c r="F1131" i="20" s="1"/>
  <c r="D1132" i="20" s="1"/>
  <c r="E328" i="20"/>
  <c r="F328" i="20" s="1"/>
  <c r="I416" i="20"/>
  <c r="E2021" i="20"/>
  <c r="F2021" i="20" s="1"/>
  <c r="D2022" i="20" s="1"/>
  <c r="E1665" i="20"/>
  <c r="F1665" i="20" s="1"/>
  <c r="E1013" i="13"/>
  <c r="F1013" i="13" s="1"/>
  <c r="D1014" i="13" s="1"/>
  <c r="E657" i="13"/>
  <c r="F657" i="13" s="1"/>
  <c r="D658" i="13" s="1"/>
  <c r="H1526" i="13"/>
  <c r="I1526" i="13"/>
  <c r="G317" i="13"/>
  <c r="E146" i="13"/>
  <c r="F146" i="13" s="1"/>
  <c r="D147" i="13" s="1"/>
  <c r="H2020" i="20"/>
  <c r="G2020" i="20"/>
  <c r="H1439" i="13"/>
  <c r="I1439" i="13"/>
  <c r="J1264" i="13"/>
  <c r="H1957" i="13"/>
  <c r="I1957" i="13"/>
  <c r="H1219" i="20"/>
  <c r="H1397" i="20"/>
  <c r="G1664" i="20"/>
  <c r="G1012" i="13"/>
  <c r="E408" i="13"/>
  <c r="F408" i="13" s="1"/>
  <c r="D409" i="13" s="1"/>
  <c r="H656" i="13"/>
  <c r="I656" i="13"/>
  <c r="E777" i="20"/>
  <c r="F777" i="20" s="1"/>
  <c r="D778" i="20" s="1"/>
  <c r="H752" i="13"/>
  <c r="I752" i="13"/>
  <c r="E1583" i="20"/>
  <c r="F1583" i="20" s="1"/>
  <c r="E838" i="13"/>
  <c r="F838" i="13" s="1"/>
  <c r="D839" i="13" s="1"/>
  <c r="I686" i="20"/>
  <c r="I1931" i="20"/>
  <c r="E860" i="20"/>
  <c r="F860" i="20" s="1"/>
  <c r="H489" i="13"/>
  <c r="I489" i="13"/>
  <c r="E417" i="20"/>
  <c r="F417" i="20" s="1"/>
  <c r="D418" i="20" s="1"/>
  <c r="I923" i="13" l="1"/>
  <c r="I1397" i="20"/>
  <c r="H1527" i="13"/>
  <c r="J1527" i="13" s="1"/>
  <c r="I145" i="13"/>
  <c r="J145" i="13" s="1"/>
  <c r="I150" i="20"/>
  <c r="I1486" i="20"/>
  <c r="I228" i="13"/>
  <c r="J228" i="13" s="1"/>
  <c r="I1219" i="20"/>
  <c r="D688" i="20"/>
  <c r="E688" i="20" s="1"/>
  <c r="F688" i="20" s="1"/>
  <c r="G687" i="20"/>
  <c r="D319" i="13"/>
  <c r="G318" i="13"/>
  <c r="H318" i="13" s="1"/>
  <c r="D329" i="20"/>
  <c r="E329" i="20" s="1"/>
  <c r="F329" i="20" s="1"/>
  <c r="G328" i="20"/>
  <c r="D1488" i="20"/>
  <c r="E1488" i="20" s="1"/>
  <c r="F1488" i="20" s="1"/>
  <c r="D1489" i="20" s="1"/>
  <c r="G1487" i="20"/>
  <c r="H1487" i="20"/>
  <c r="D152" i="20"/>
  <c r="E152" i="20" s="1"/>
  <c r="F152" i="20" s="1"/>
  <c r="D153" i="20" s="1"/>
  <c r="G151" i="20"/>
  <c r="H151" i="20"/>
  <c r="D925" i="13"/>
  <c r="E925" i="13" s="1"/>
  <c r="F925" i="13" s="1"/>
  <c r="G924" i="13"/>
  <c r="H924" i="13" s="1"/>
  <c r="D230" i="13"/>
  <c r="E230" i="13" s="1"/>
  <c r="F230" i="13" s="1"/>
  <c r="D231" i="13" s="1"/>
  <c r="G229" i="13"/>
  <c r="H229" i="13" s="1"/>
  <c r="H1098" i="13"/>
  <c r="I1098" i="13"/>
  <c r="G1131" i="20"/>
  <c r="G503" i="20"/>
  <c r="E1099" i="13"/>
  <c r="F1099" i="13" s="1"/>
  <c r="D1100" i="13" s="1"/>
  <c r="J752" i="13"/>
  <c r="J407" i="13"/>
  <c r="J1011" i="13"/>
  <c r="J1526" i="13"/>
  <c r="J1439" i="13"/>
  <c r="J923" i="13"/>
  <c r="I2020" i="20"/>
  <c r="J656" i="13"/>
  <c r="J1957" i="13"/>
  <c r="J1265" i="13"/>
  <c r="J1356" i="13"/>
  <c r="D1753" i="20"/>
  <c r="H1752" i="20"/>
  <c r="G1752" i="20"/>
  <c r="D861" i="20"/>
  <c r="G860" i="20"/>
  <c r="H860" i="20"/>
  <c r="D754" i="13"/>
  <c r="G753" i="13"/>
  <c r="D1666" i="20"/>
  <c r="H1665" i="20"/>
  <c r="G1665" i="20"/>
  <c r="D1879" i="13"/>
  <c r="G1878" i="13"/>
  <c r="D239" i="20"/>
  <c r="G238" i="20"/>
  <c r="H238" i="20"/>
  <c r="D1399" i="20"/>
  <c r="G1398" i="20"/>
  <c r="H1398" i="20"/>
  <c r="D1306" i="20"/>
  <c r="H1305" i="20"/>
  <c r="G1305" i="20"/>
  <c r="D1844" i="20"/>
  <c r="G1843" i="20"/>
  <c r="H1843" i="20"/>
  <c r="D1584" i="20"/>
  <c r="G1583" i="20"/>
  <c r="H1583" i="20"/>
  <c r="D1358" i="13"/>
  <c r="G1357" i="13"/>
  <c r="E409" i="13"/>
  <c r="F409" i="13" s="1"/>
  <c r="E658" i="13"/>
  <c r="F658" i="13" s="1"/>
  <c r="D659" i="13" s="1"/>
  <c r="E2022" i="20"/>
  <c r="F2022" i="20" s="1"/>
  <c r="E491" i="13"/>
  <c r="F491" i="13" s="1"/>
  <c r="E1221" i="20"/>
  <c r="F1221" i="20" s="1"/>
  <c r="E1181" i="13"/>
  <c r="F1181" i="13" s="1"/>
  <c r="H1958" i="13"/>
  <c r="I1958" i="13"/>
  <c r="H777" i="20"/>
  <c r="E147" i="13"/>
  <c r="F147" i="13" s="1"/>
  <c r="E1014" i="13"/>
  <c r="F1014" i="13" s="1"/>
  <c r="E1132" i="20"/>
  <c r="F1132" i="20" s="1"/>
  <c r="D1133" i="20" s="1"/>
  <c r="E504" i="20"/>
  <c r="F504" i="20" s="1"/>
  <c r="E319" i="13"/>
  <c r="F319" i="13" s="1"/>
  <c r="H1266" i="13"/>
  <c r="I1266" i="13"/>
  <c r="H1787" i="13"/>
  <c r="I1787" i="13"/>
  <c r="E952" i="20"/>
  <c r="F952" i="20" s="1"/>
  <c r="D953" i="20" s="1"/>
  <c r="E1959" i="13"/>
  <c r="F1959" i="13" s="1"/>
  <c r="E418" i="20"/>
  <c r="F418" i="20" s="1"/>
  <c r="E839" i="13"/>
  <c r="F839" i="13" s="1"/>
  <c r="E1529" i="13"/>
  <c r="F1529" i="13" s="1"/>
  <c r="E1043" i="20"/>
  <c r="F1043" i="20" s="1"/>
  <c r="D1044" i="20" s="1"/>
  <c r="E1933" i="20"/>
  <c r="F1933" i="20" s="1"/>
  <c r="E1441" i="13"/>
  <c r="F1441" i="13" s="1"/>
  <c r="H417" i="20"/>
  <c r="J489" i="13"/>
  <c r="G777" i="20"/>
  <c r="H1012" i="13"/>
  <c r="I1012" i="13"/>
  <c r="G1013" i="13"/>
  <c r="H2021" i="20"/>
  <c r="H1042" i="20"/>
  <c r="H1220" i="20"/>
  <c r="H1932" i="20"/>
  <c r="E1267" i="13"/>
  <c r="F1267" i="13" s="1"/>
  <c r="E1788" i="13"/>
  <c r="F1788" i="13" s="1"/>
  <c r="H1698" i="13"/>
  <c r="I1698" i="13"/>
  <c r="H1611" i="13"/>
  <c r="I1611" i="13"/>
  <c r="E778" i="20"/>
  <c r="F778" i="20" s="1"/>
  <c r="H317" i="13"/>
  <c r="I317" i="13"/>
  <c r="G417" i="20"/>
  <c r="G838" i="13"/>
  <c r="G408" i="13"/>
  <c r="G146" i="13"/>
  <c r="G657" i="13"/>
  <c r="G2021" i="20"/>
  <c r="H328" i="20"/>
  <c r="H1131" i="20"/>
  <c r="J837" i="13"/>
  <c r="I1664" i="20"/>
  <c r="G1528" i="13"/>
  <c r="J227" i="13"/>
  <c r="G490" i="13"/>
  <c r="G1042" i="20"/>
  <c r="H687" i="20"/>
  <c r="H503" i="20"/>
  <c r="J1877" i="13"/>
  <c r="G1220" i="20"/>
  <c r="G1932" i="20"/>
  <c r="H1440" i="13"/>
  <c r="I1440" i="13"/>
  <c r="H1180" i="13"/>
  <c r="I1180" i="13"/>
  <c r="I951" i="20"/>
  <c r="E1699" i="13"/>
  <c r="F1699" i="13" s="1"/>
  <c r="E1612" i="13"/>
  <c r="F1612" i="13" s="1"/>
  <c r="D1613" i="13" s="1"/>
  <c r="I229" i="13" l="1"/>
  <c r="I318" i="13"/>
  <c r="J318" i="13" s="1"/>
  <c r="I687" i="20"/>
  <c r="I1131" i="20"/>
  <c r="I328" i="20"/>
  <c r="I151" i="20"/>
  <c r="I503" i="20"/>
  <c r="J1098" i="13"/>
  <c r="I924" i="13"/>
  <c r="J924" i="13" s="1"/>
  <c r="I1487" i="20"/>
  <c r="D1222" i="20"/>
  <c r="E1222" i="20" s="1"/>
  <c r="F1222" i="20" s="1"/>
  <c r="G1221" i="20"/>
  <c r="D410" i="13"/>
  <c r="E410" i="13" s="1"/>
  <c r="F410" i="13" s="1"/>
  <c r="G409" i="13"/>
  <c r="I409" i="13" s="1"/>
  <c r="H152" i="20"/>
  <c r="G952" i="20"/>
  <c r="D779" i="20"/>
  <c r="E779" i="20" s="1"/>
  <c r="F779" i="20" s="1"/>
  <c r="D780" i="20" s="1"/>
  <c r="H778" i="20"/>
  <c r="D1960" i="13"/>
  <c r="E1960" i="13" s="1"/>
  <c r="F1960" i="13" s="1"/>
  <c r="D1961" i="13" s="1"/>
  <c r="G1959" i="13"/>
  <c r="H1959" i="13" s="1"/>
  <c r="D1442" i="13"/>
  <c r="E1442" i="13" s="1"/>
  <c r="F1442" i="13" s="1"/>
  <c r="G1441" i="13"/>
  <c r="I1441" i="13" s="1"/>
  <c r="E1100" i="13"/>
  <c r="F1100" i="13" s="1"/>
  <c r="D1101" i="13" s="1"/>
  <c r="G1612" i="13"/>
  <c r="I1612" i="13" s="1"/>
  <c r="H1488" i="20"/>
  <c r="G1132" i="20"/>
  <c r="G1099" i="13"/>
  <c r="I1583" i="20"/>
  <c r="I860" i="20"/>
  <c r="J1266" i="13"/>
  <c r="J1958" i="13"/>
  <c r="J1012" i="13"/>
  <c r="I1398" i="20"/>
  <c r="J1611" i="13"/>
  <c r="I2021" i="20"/>
  <c r="J1440" i="13"/>
  <c r="J229" i="13"/>
  <c r="I238" i="20"/>
  <c r="D1700" i="13"/>
  <c r="G1699" i="13"/>
  <c r="D1268" i="13"/>
  <c r="G1267" i="13"/>
  <c r="D505" i="20"/>
  <c r="H504" i="20"/>
  <c r="G504" i="20"/>
  <c r="D840" i="13"/>
  <c r="G839" i="13"/>
  <c r="D689" i="20"/>
  <c r="G688" i="20"/>
  <c r="H688" i="20"/>
  <c r="D1182" i="13"/>
  <c r="G1181" i="13"/>
  <c r="D419" i="20"/>
  <c r="G418" i="20"/>
  <c r="H418" i="20"/>
  <c r="D2023" i="20"/>
  <c r="G2022" i="20"/>
  <c r="H2022" i="20"/>
  <c r="D1530" i="13"/>
  <c r="G1529" i="13"/>
  <c r="D1015" i="13"/>
  <c r="G1014" i="13"/>
  <c r="D1934" i="20"/>
  <c r="G1933" i="20"/>
  <c r="H1933" i="20"/>
  <c r="D320" i="13"/>
  <c r="G319" i="13"/>
  <c r="D148" i="13"/>
  <c r="G147" i="13"/>
  <c r="D492" i="13"/>
  <c r="G491" i="13"/>
  <c r="D1789" i="13"/>
  <c r="G1788" i="13"/>
  <c r="D926" i="13"/>
  <c r="G925" i="13"/>
  <c r="D330" i="20"/>
  <c r="H329" i="20"/>
  <c r="G329" i="20"/>
  <c r="H490" i="13"/>
  <c r="I490" i="13"/>
  <c r="H657" i="13"/>
  <c r="I657" i="13"/>
  <c r="E659" i="13"/>
  <c r="F659" i="13" s="1"/>
  <c r="H753" i="13"/>
  <c r="I753" i="13"/>
  <c r="E861" i="20"/>
  <c r="F861" i="20" s="1"/>
  <c r="H146" i="13"/>
  <c r="I146" i="13"/>
  <c r="G778" i="20"/>
  <c r="G152" i="20"/>
  <c r="G1488" i="20"/>
  <c r="H1013" i="13"/>
  <c r="I1013" i="13"/>
  <c r="E953" i="20"/>
  <c r="F953" i="20" s="1"/>
  <c r="E1133" i="20"/>
  <c r="F1133" i="20" s="1"/>
  <c r="I777" i="20"/>
  <c r="E1358" i="13"/>
  <c r="F1358" i="13" s="1"/>
  <c r="E1844" i="20"/>
  <c r="F1844" i="20" s="1"/>
  <c r="E754" i="13"/>
  <c r="F754" i="13" s="1"/>
  <c r="H838" i="13"/>
  <c r="I838" i="13"/>
  <c r="E1044" i="20"/>
  <c r="F1044" i="20" s="1"/>
  <c r="E231" i="13"/>
  <c r="F231" i="13" s="1"/>
  <c r="D232" i="13" s="1"/>
  <c r="H1357" i="13"/>
  <c r="I1357" i="13"/>
  <c r="E1306" i="20"/>
  <c r="F1306" i="20" s="1"/>
  <c r="E1879" i="13"/>
  <c r="F1879" i="13" s="1"/>
  <c r="J1180" i="13"/>
  <c r="H1528" i="13"/>
  <c r="I1528" i="13"/>
  <c r="H408" i="13"/>
  <c r="I408" i="13"/>
  <c r="J317" i="13"/>
  <c r="J1698" i="13"/>
  <c r="I1932" i="20"/>
  <c r="E153" i="20"/>
  <c r="F153" i="20" s="1"/>
  <c r="E1489" i="20"/>
  <c r="F1489" i="20" s="1"/>
  <c r="I417" i="20"/>
  <c r="H1043" i="20"/>
  <c r="G230" i="13"/>
  <c r="E239" i="20"/>
  <c r="F239" i="20" s="1"/>
  <c r="I1665" i="20"/>
  <c r="I1752" i="20"/>
  <c r="E1584" i="20"/>
  <c r="F1584" i="20" s="1"/>
  <c r="E1613" i="13"/>
  <c r="F1613" i="13" s="1"/>
  <c r="I1220" i="20"/>
  <c r="I1042" i="20"/>
  <c r="G1043" i="20"/>
  <c r="H952" i="20"/>
  <c r="J1787" i="13"/>
  <c r="H1132" i="20"/>
  <c r="H1221" i="20"/>
  <c r="G658" i="13"/>
  <c r="I1843" i="20"/>
  <c r="I1305" i="20"/>
  <c r="E1399" i="20"/>
  <c r="F1399" i="20" s="1"/>
  <c r="H1878" i="13"/>
  <c r="I1878" i="13"/>
  <c r="E1666" i="20"/>
  <c r="F1666" i="20" s="1"/>
  <c r="E1753" i="20"/>
  <c r="F1753" i="20" s="1"/>
  <c r="D1754" i="20" s="1"/>
  <c r="G1100" i="13" l="1"/>
  <c r="I1959" i="13"/>
  <c r="H1612" i="13"/>
  <c r="H409" i="13"/>
  <c r="J409" i="13" s="1"/>
  <c r="H1441" i="13"/>
  <c r="J1441" i="13" s="1"/>
  <c r="I1132" i="20"/>
  <c r="I778" i="20"/>
  <c r="I1488" i="20"/>
  <c r="I152" i="20"/>
  <c r="I952" i="20"/>
  <c r="I1221" i="20"/>
  <c r="D240" i="20"/>
  <c r="E240" i="20" s="1"/>
  <c r="F240" i="20" s="1"/>
  <c r="G239" i="20"/>
  <c r="G1960" i="13"/>
  <c r="H1960" i="13" s="1"/>
  <c r="D1134" i="20"/>
  <c r="E1134" i="20" s="1"/>
  <c r="F1134" i="20" s="1"/>
  <c r="G1133" i="20"/>
  <c r="H1133" i="20"/>
  <c r="D755" i="13"/>
  <c r="E755" i="13" s="1"/>
  <c r="F755" i="13" s="1"/>
  <c r="D756" i="13" s="1"/>
  <c r="G754" i="13"/>
  <c r="H754" i="13" s="1"/>
  <c r="D954" i="20"/>
  <c r="E954" i="20" s="1"/>
  <c r="F954" i="20" s="1"/>
  <c r="G953" i="20"/>
  <c r="H953" i="20"/>
  <c r="D1443" i="13"/>
  <c r="E1443" i="13" s="1"/>
  <c r="F1443" i="13" s="1"/>
  <c r="G1442" i="13"/>
  <c r="H1442" i="13" s="1"/>
  <c r="D1400" i="20"/>
  <c r="G1399" i="20"/>
  <c r="I1099" i="13"/>
  <c r="H1099" i="13"/>
  <c r="H1100" i="13"/>
  <c r="I1100" i="13"/>
  <c r="E1101" i="13"/>
  <c r="F1101" i="13" s="1"/>
  <c r="D1102" i="13" s="1"/>
  <c r="J1013" i="13"/>
  <c r="J753" i="13"/>
  <c r="I1933" i="20"/>
  <c r="J408" i="13"/>
  <c r="J1878" i="13"/>
  <c r="J1357" i="13"/>
  <c r="J1959" i="13"/>
  <c r="J838" i="13"/>
  <c r="J490" i="13"/>
  <c r="J657" i="13"/>
  <c r="I2022" i="20"/>
  <c r="I688" i="20"/>
  <c r="D1585" i="20"/>
  <c r="G1584" i="20"/>
  <c r="H1584" i="20"/>
  <c r="D1045" i="20"/>
  <c r="H1044" i="20"/>
  <c r="G1044" i="20"/>
  <c r="D411" i="13"/>
  <c r="G410" i="13"/>
  <c r="D1307" i="20"/>
  <c r="G1306" i="20"/>
  <c r="H1306" i="20"/>
  <c r="D154" i="20"/>
  <c r="H153" i="20"/>
  <c r="G153" i="20"/>
  <c r="D862" i="20"/>
  <c r="G861" i="20"/>
  <c r="H861" i="20"/>
  <c r="D1880" i="13"/>
  <c r="G1879" i="13"/>
  <c r="D1359" i="13"/>
  <c r="G1358" i="13"/>
  <c r="D1667" i="20"/>
  <c r="G1666" i="20"/>
  <c r="H1666" i="20"/>
  <c r="D1490" i="20"/>
  <c r="G1489" i="20"/>
  <c r="H1489" i="20"/>
  <c r="D1845" i="20"/>
  <c r="G1844" i="20"/>
  <c r="H1844" i="20"/>
  <c r="D660" i="13"/>
  <c r="G659" i="13"/>
  <c r="D1614" i="13"/>
  <c r="G1613" i="13"/>
  <c r="D1223" i="20"/>
  <c r="H1222" i="20"/>
  <c r="G1222" i="20"/>
  <c r="E1754" i="20"/>
  <c r="F1754" i="20" s="1"/>
  <c r="E926" i="13"/>
  <c r="F926" i="13" s="1"/>
  <c r="D927" i="13" s="1"/>
  <c r="E1961" i="13"/>
  <c r="F1961" i="13" s="1"/>
  <c r="I329" i="20"/>
  <c r="H1788" i="13"/>
  <c r="I1788" i="13"/>
  <c r="H147" i="13"/>
  <c r="I147" i="13"/>
  <c r="E1015" i="13"/>
  <c r="F1015" i="13" s="1"/>
  <c r="D1016" i="13" s="1"/>
  <c r="E419" i="20"/>
  <c r="F419" i="20" s="1"/>
  <c r="E1268" i="13"/>
  <c r="F1268" i="13" s="1"/>
  <c r="E232" i="13"/>
  <c r="F232" i="13" s="1"/>
  <c r="D233" i="13" s="1"/>
  <c r="E320" i="13"/>
  <c r="F320" i="13" s="1"/>
  <c r="H1267" i="13"/>
  <c r="I1267" i="13"/>
  <c r="H1753" i="20"/>
  <c r="E1400" i="20"/>
  <c r="F1400" i="20" s="1"/>
  <c r="H658" i="13"/>
  <c r="I658" i="13"/>
  <c r="H779" i="20"/>
  <c r="G1753" i="20"/>
  <c r="G779" i="20"/>
  <c r="I1043" i="20"/>
  <c r="J1528" i="13"/>
  <c r="G231" i="13"/>
  <c r="E330" i="20"/>
  <c r="F330" i="20" s="1"/>
  <c r="E1789" i="13"/>
  <c r="F1789" i="13" s="1"/>
  <c r="D1790" i="13" s="1"/>
  <c r="E148" i="13"/>
  <c r="F148" i="13" s="1"/>
  <c r="D149" i="13" s="1"/>
  <c r="H1529" i="13"/>
  <c r="I1529" i="13"/>
  <c r="E2023" i="20"/>
  <c r="F2023" i="20" s="1"/>
  <c r="H1181" i="13"/>
  <c r="I1181" i="13"/>
  <c r="E689" i="20"/>
  <c r="F689" i="20" s="1"/>
  <c r="I504" i="20"/>
  <c r="H1699" i="13"/>
  <c r="I1699" i="13"/>
  <c r="E780" i="20"/>
  <c r="F780" i="20" s="1"/>
  <c r="E492" i="13"/>
  <c r="F492" i="13" s="1"/>
  <c r="H1014" i="13"/>
  <c r="I1014" i="13"/>
  <c r="E840" i="13"/>
  <c r="F840" i="13" s="1"/>
  <c r="D841" i="13" s="1"/>
  <c r="H230" i="13"/>
  <c r="I230" i="13"/>
  <c r="H1399" i="20"/>
  <c r="H239" i="20"/>
  <c r="J1612" i="13"/>
  <c r="J146" i="13"/>
  <c r="H925" i="13"/>
  <c r="I925" i="13"/>
  <c r="H491" i="13"/>
  <c r="I491" i="13"/>
  <c r="H319" i="13"/>
  <c r="I319" i="13"/>
  <c r="E1934" i="20"/>
  <c r="F1934" i="20" s="1"/>
  <c r="E1530" i="13"/>
  <c r="F1530" i="13" s="1"/>
  <c r="D1531" i="13" s="1"/>
  <c r="I418" i="20"/>
  <c r="E1182" i="13"/>
  <c r="F1182" i="13" s="1"/>
  <c r="H839" i="13"/>
  <c r="I839" i="13"/>
  <c r="E505" i="20"/>
  <c r="F505" i="20" s="1"/>
  <c r="E1700" i="13"/>
  <c r="F1700" i="13" s="1"/>
  <c r="D1701" i="13" s="1"/>
  <c r="I1442" i="13" l="1"/>
  <c r="I1960" i="13"/>
  <c r="J1960" i="13" s="1"/>
  <c r="I1399" i="20"/>
  <c r="I754" i="13"/>
  <c r="J754" i="13" s="1"/>
  <c r="I1133" i="20"/>
  <c r="I239" i="20"/>
  <c r="J1100" i="13"/>
  <c r="I953" i="20"/>
  <c r="D1401" i="20"/>
  <c r="E1401" i="20" s="1"/>
  <c r="F1401" i="20" s="1"/>
  <c r="G1400" i="20"/>
  <c r="H1400" i="20"/>
  <c r="D1135" i="20"/>
  <c r="E1135" i="20" s="1"/>
  <c r="F1135" i="20" s="1"/>
  <c r="D1136" i="20" s="1"/>
  <c r="H1134" i="20"/>
  <c r="D493" i="13"/>
  <c r="E493" i="13" s="1"/>
  <c r="G492" i="13"/>
  <c r="H492" i="13" s="1"/>
  <c r="D2024" i="20"/>
  <c r="E2024" i="20" s="1"/>
  <c r="F2024" i="20" s="1"/>
  <c r="H2023" i="20"/>
  <c r="D1755" i="20"/>
  <c r="E1755" i="20" s="1"/>
  <c r="F1755" i="20" s="1"/>
  <c r="G1754" i="20"/>
  <c r="G1101" i="13"/>
  <c r="E1102" i="13"/>
  <c r="F1102" i="13" s="1"/>
  <c r="J1099" i="13"/>
  <c r="J147" i="13"/>
  <c r="J1267" i="13"/>
  <c r="I1666" i="20"/>
  <c r="I779" i="20"/>
  <c r="J658" i="13"/>
  <c r="I1489" i="20"/>
  <c r="I1306" i="20"/>
  <c r="I1584" i="20"/>
  <c r="I1222" i="20"/>
  <c r="J319" i="13"/>
  <c r="J925" i="13"/>
  <c r="J230" i="13"/>
  <c r="J1529" i="13"/>
  <c r="I1844" i="20"/>
  <c r="D781" i="20"/>
  <c r="H780" i="20"/>
  <c r="G780" i="20"/>
  <c r="D1935" i="20"/>
  <c r="G1934" i="20"/>
  <c r="H1934" i="20"/>
  <c r="D690" i="20"/>
  <c r="G689" i="20"/>
  <c r="H689" i="20"/>
  <c r="D1444" i="13"/>
  <c r="G1443" i="13"/>
  <c r="D1962" i="13"/>
  <c r="G1961" i="13"/>
  <c r="D321" i="13"/>
  <c r="G320" i="13"/>
  <c r="D1183" i="13"/>
  <c r="G1182" i="13"/>
  <c r="D241" i="20"/>
  <c r="H240" i="20"/>
  <c r="G240" i="20"/>
  <c r="D331" i="20"/>
  <c r="G330" i="20"/>
  <c r="H330" i="20"/>
  <c r="D420" i="20"/>
  <c r="G419" i="20"/>
  <c r="H419" i="20"/>
  <c r="D506" i="20"/>
  <c r="H505" i="20"/>
  <c r="G505" i="20"/>
  <c r="D955" i="20"/>
  <c r="H954" i="20"/>
  <c r="G954" i="20"/>
  <c r="D1269" i="13"/>
  <c r="G1268" i="13"/>
  <c r="E1701" i="13"/>
  <c r="F1701" i="13" s="1"/>
  <c r="E841" i="13"/>
  <c r="F841" i="13" s="1"/>
  <c r="E756" i="13"/>
  <c r="F756" i="13" s="1"/>
  <c r="E927" i="13"/>
  <c r="F927" i="13" s="1"/>
  <c r="E1359" i="13"/>
  <c r="F1359" i="13" s="1"/>
  <c r="E154" i="20"/>
  <c r="F154" i="20" s="1"/>
  <c r="E1045" i="20"/>
  <c r="F1045" i="20" s="1"/>
  <c r="G2023" i="20"/>
  <c r="G1134" i="20"/>
  <c r="G755" i="13"/>
  <c r="E233" i="13"/>
  <c r="F233" i="13" s="1"/>
  <c r="D234" i="13" s="1"/>
  <c r="G926" i="13"/>
  <c r="E1223" i="20"/>
  <c r="F1223" i="20" s="1"/>
  <c r="D1224" i="20" s="1"/>
  <c r="E660" i="13"/>
  <c r="F660" i="13" s="1"/>
  <c r="H1879" i="13"/>
  <c r="I1879" i="13"/>
  <c r="E862" i="20"/>
  <c r="F862" i="20" s="1"/>
  <c r="E411" i="13"/>
  <c r="F411" i="13" s="1"/>
  <c r="E149" i="13"/>
  <c r="F149" i="13" s="1"/>
  <c r="E1016" i="13"/>
  <c r="F1016" i="13" s="1"/>
  <c r="H659" i="13"/>
  <c r="I659" i="13"/>
  <c r="E1845" i="20"/>
  <c r="F1845" i="20" s="1"/>
  <c r="H410" i="13"/>
  <c r="I410" i="13"/>
  <c r="G1700" i="13"/>
  <c r="G1530" i="13"/>
  <c r="J491" i="13"/>
  <c r="J1014" i="13"/>
  <c r="J1181" i="13"/>
  <c r="G1789" i="13"/>
  <c r="H1613" i="13"/>
  <c r="I1613" i="13"/>
  <c r="E1667" i="20"/>
  <c r="F1667" i="20" s="1"/>
  <c r="E1880" i="13"/>
  <c r="F1880" i="13" s="1"/>
  <c r="J839" i="13"/>
  <c r="E1531" i="13"/>
  <c r="F1531" i="13" s="1"/>
  <c r="G840" i="13"/>
  <c r="J1442" i="13"/>
  <c r="J1699" i="13"/>
  <c r="G148" i="13"/>
  <c r="E1790" i="13"/>
  <c r="F1790" i="13" s="1"/>
  <c r="H231" i="13"/>
  <c r="I231" i="13"/>
  <c r="I1753" i="20"/>
  <c r="G232" i="13"/>
  <c r="G1015" i="13"/>
  <c r="J1788" i="13"/>
  <c r="H1754" i="20"/>
  <c r="E1614" i="13"/>
  <c r="F1614" i="13" s="1"/>
  <c r="D1615" i="13" s="1"/>
  <c r="E1490" i="20"/>
  <c r="F1490" i="20" s="1"/>
  <c r="H1358" i="13"/>
  <c r="I1358" i="13"/>
  <c r="I861" i="20"/>
  <c r="I153" i="20"/>
  <c r="E1307" i="20"/>
  <c r="F1307" i="20" s="1"/>
  <c r="I1044" i="20"/>
  <c r="E1585" i="20"/>
  <c r="F1585" i="20" s="1"/>
  <c r="D1586" i="20" s="1"/>
  <c r="I492" i="13" l="1"/>
  <c r="J492" i="13" s="1"/>
  <c r="I1400" i="20"/>
  <c r="I1754" i="20"/>
  <c r="I1134" i="20"/>
  <c r="I2023" i="20"/>
  <c r="F493" i="13"/>
  <c r="D494" i="13" s="1"/>
  <c r="D1881" i="13"/>
  <c r="G1880" i="13"/>
  <c r="I1880" i="13" s="1"/>
  <c r="D1668" i="20"/>
  <c r="G1667" i="20"/>
  <c r="H1101" i="13"/>
  <c r="I1101" i="13"/>
  <c r="D1103" i="13"/>
  <c r="G1102" i="13"/>
  <c r="I330" i="20"/>
  <c r="I505" i="20"/>
  <c r="J231" i="13"/>
  <c r="J659" i="13"/>
  <c r="J1358" i="13"/>
  <c r="J1879" i="13"/>
  <c r="I419" i="20"/>
  <c r="I1934" i="20"/>
  <c r="D1532" i="13"/>
  <c r="G1531" i="13"/>
  <c r="D661" i="13"/>
  <c r="G660" i="13"/>
  <c r="D1702" i="13"/>
  <c r="G1701" i="13"/>
  <c r="D1846" i="20"/>
  <c r="H1845" i="20"/>
  <c r="G1845" i="20"/>
  <c r="D1402" i="20"/>
  <c r="G1401" i="20"/>
  <c r="H1401" i="20"/>
  <c r="D842" i="13"/>
  <c r="G841" i="13"/>
  <c r="D863" i="20"/>
  <c r="G862" i="20"/>
  <c r="H862" i="20"/>
  <c r="D1046" i="20"/>
  <c r="G1045" i="20"/>
  <c r="H1045" i="20"/>
  <c r="D1491" i="20"/>
  <c r="H1490" i="20"/>
  <c r="G1490" i="20"/>
  <c r="D412" i="13"/>
  <c r="G411" i="13"/>
  <c r="D1360" i="13"/>
  <c r="G1359" i="13"/>
  <c r="D1791" i="13"/>
  <c r="G1790" i="13"/>
  <c r="D150" i="13"/>
  <c r="G149" i="13"/>
  <c r="D928" i="13"/>
  <c r="G927" i="13"/>
  <c r="D1308" i="20"/>
  <c r="H1307" i="20"/>
  <c r="G1307" i="20"/>
  <c r="D2025" i="20"/>
  <c r="G2024" i="20"/>
  <c r="H2024" i="20"/>
  <c r="D1017" i="13"/>
  <c r="G1016" i="13"/>
  <c r="D1756" i="20"/>
  <c r="G1755" i="20"/>
  <c r="H1755" i="20"/>
  <c r="D155" i="20"/>
  <c r="H154" i="20"/>
  <c r="G154" i="20"/>
  <c r="D757" i="13"/>
  <c r="G756" i="13"/>
  <c r="E1615" i="13"/>
  <c r="F1615" i="13" s="1"/>
  <c r="H840" i="13"/>
  <c r="I840" i="13"/>
  <c r="E1224" i="20"/>
  <c r="F1224" i="20" s="1"/>
  <c r="E1962" i="13"/>
  <c r="F1962" i="13" s="1"/>
  <c r="D1963" i="13" s="1"/>
  <c r="H232" i="13"/>
  <c r="I232" i="13"/>
  <c r="E494" i="13"/>
  <c r="F494" i="13" s="1"/>
  <c r="D495" i="13" s="1"/>
  <c r="I954" i="20"/>
  <c r="E506" i="20"/>
  <c r="F506" i="20" s="1"/>
  <c r="I240" i="20"/>
  <c r="H320" i="13"/>
  <c r="I320" i="13"/>
  <c r="H1443" i="13"/>
  <c r="I1443" i="13"/>
  <c r="E690" i="20"/>
  <c r="F690" i="20" s="1"/>
  <c r="E1586" i="20"/>
  <c r="F1586" i="20" s="1"/>
  <c r="G1586" i="20" s="1"/>
  <c r="H1015" i="13"/>
  <c r="I1015" i="13"/>
  <c r="E1136" i="20"/>
  <c r="F1136" i="20" s="1"/>
  <c r="H1880" i="13"/>
  <c r="E234" i="13"/>
  <c r="F234" i="13" s="1"/>
  <c r="D235" i="13" s="1"/>
  <c r="E1935" i="20"/>
  <c r="F1935" i="20" s="1"/>
  <c r="E1881" i="13"/>
  <c r="F1881" i="13" s="1"/>
  <c r="D1882" i="13" s="1"/>
  <c r="H1789" i="13"/>
  <c r="I1789" i="13"/>
  <c r="H1223" i="20"/>
  <c r="H926" i="13"/>
  <c r="I926" i="13"/>
  <c r="H1585" i="20"/>
  <c r="H1135" i="20"/>
  <c r="H1700" i="13"/>
  <c r="I1700" i="13"/>
  <c r="G1223" i="20"/>
  <c r="H755" i="13"/>
  <c r="I755" i="13"/>
  <c r="H1268" i="13"/>
  <c r="I1268" i="13"/>
  <c r="E955" i="20"/>
  <c r="F955" i="20" s="1"/>
  <c r="E241" i="20"/>
  <c r="F241" i="20" s="1"/>
  <c r="E321" i="13"/>
  <c r="F321" i="13" s="1"/>
  <c r="D322" i="13" s="1"/>
  <c r="E1444" i="13"/>
  <c r="F1444" i="13" s="1"/>
  <c r="I780" i="20"/>
  <c r="E420" i="20"/>
  <c r="F420" i="20" s="1"/>
  <c r="D421" i="20" s="1"/>
  <c r="E1183" i="13"/>
  <c r="F1183" i="13" s="1"/>
  <c r="H148" i="13"/>
  <c r="I148" i="13"/>
  <c r="E1668" i="20"/>
  <c r="F1668" i="20" s="1"/>
  <c r="H1530" i="13"/>
  <c r="I1530" i="13"/>
  <c r="G1585" i="20"/>
  <c r="G1614" i="13"/>
  <c r="G1135" i="20"/>
  <c r="H1667" i="20"/>
  <c r="J1613" i="13"/>
  <c r="J410" i="13"/>
  <c r="G233" i="13"/>
  <c r="G493" i="13"/>
  <c r="E1269" i="13"/>
  <c r="F1269" i="13" s="1"/>
  <c r="D1270" i="13" s="1"/>
  <c r="E331" i="20"/>
  <c r="F331" i="20" s="1"/>
  <c r="H1182" i="13"/>
  <c r="I1182" i="13"/>
  <c r="H1961" i="13"/>
  <c r="I1961" i="13"/>
  <c r="I689" i="20"/>
  <c r="E781" i="20"/>
  <c r="F781" i="20" s="1"/>
  <c r="I1667" i="20" l="1"/>
  <c r="J1101" i="13"/>
  <c r="D242" i="20"/>
  <c r="H241" i="20"/>
  <c r="D507" i="20"/>
  <c r="G506" i="20"/>
  <c r="H1102" i="13"/>
  <c r="I1102" i="13"/>
  <c r="E1103" i="13"/>
  <c r="F1103" i="13" s="1"/>
  <c r="D1104" i="13" s="1"/>
  <c r="G241" i="20"/>
  <c r="G1881" i="13"/>
  <c r="I1881" i="13" s="1"/>
  <c r="J1182" i="13"/>
  <c r="I1223" i="20"/>
  <c r="J1015" i="13"/>
  <c r="J1268" i="13"/>
  <c r="J320" i="13"/>
  <c r="I1045" i="20"/>
  <c r="I1401" i="20"/>
  <c r="I154" i="20"/>
  <c r="I1490" i="20"/>
  <c r="I1845" i="20"/>
  <c r="G1587" i="20"/>
  <c r="I1307" i="20"/>
  <c r="I1135" i="20"/>
  <c r="J148" i="13"/>
  <c r="J755" i="13"/>
  <c r="J1789" i="13"/>
  <c r="J840" i="13"/>
  <c r="I1755" i="20"/>
  <c r="J1961" i="13"/>
  <c r="D1445" i="13"/>
  <c r="G1444" i="13"/>
  <c r="D1184" i="13"/>
  <c r="G1183" i="13"/>
  <c r="D1137" i="20"/>
  <c r="H1136" i="20"/>
  <c r="G1136" i="20"/>
  <c r="D1616" i="13"/>
  <c r="G1615" i="13"/>
  <c r="D782" i="20"/>
  <c r="G781" i="20"/>
  <c r="H781" i="20"/>
  <c r="D1669" i="20"/>
  <c r="G1668" i="20"/>
  <c r="H1668" i="20"/>
  <c r="D691" i="20"/>
  <c r="G690" i="20"/>
  <c r="H690" i="20"/>
  <c r="D1225" i="20"/>
  <c r="H1224" i="20"/>
  <c r="G1224" i="20"/>
  <c r="D332" i="20"/>
  <c r="G331" i="20"/>
  <c r="H331" i="20"/>
  <c r="D956" i="20"/>
  <c r="G955" i="20"/>
  <c r="H955" i="20"/>
  <c r="D1936" i="20"/>
  <c r="H1935" i="20"/>
  <c r="G1935" i="20"/>
  <c r="E421" i="20"/>
  <c r="F421" i="20" s="1"/>
  <c r="D422" i="20" s="1"/>
  <c r="E495" i="13"/>
  <c r="F495" i="13" s="1"/>
  <c r="E150" i="13"/>
  <c r="F150" i="13" s="1"/>
  <c r="E507" i="20"/>
  <c r="F507" i="20" s="1"/>
  <c r="E1963" i="13"/>
  <c r="F1963" i="13" s="1"/>
  <c r="H756" i="13"/>
  <c r="I756" i="13"/>
  <c r="E155" i="20"/>
  <c r="F155" i="20" s="1"/>
  <c r="D156" i="20" s="1"/>
  <c r="H1016" i="13"/>
  <c r="I1016" i="13"/>
  <c r="E2025" i="20"/>
  <c r="F2025" i="20" s="1"/>
  <c r="H927" i="13"/>
  <c r="I927" i="13"/>
  <c r="H1790" i="13"/>
  <c r="I1790" i="13"/>
  <c r="H411" i="13"/>
  <c r="I411" i="13"/>
  <c r="E1491" i="20"/>
  <c r="F1491" i="20" s="1"/>
  <c r="E863" i="20"/>
  <c r="F863" i="20" s="1"/>
  <c r="E1846" i="20"/>
  <c r="F1846" i="20" s="1"/>
  <c r="D1847" i="20" s="1"/>
  <c r="E661" i="13"/>
  <c r="F661" i="13" s="1"/>
  <c r="D662" i="13" s="1"/>
  <c r="E1270" i="13"/>
  <c r="F1270" i="13" s="1"/>
  <c r="E235" i="13"/>
  <c r="F235" i="13" s="1"/>
  <c r="E1756" i="20"/>
  <c r="F1756" i="20" s="1"/>
  <c r="D1757" i="20" s="1"/>
  <c r="E1308" i="20"/>
  <c r="F1308" i="20" s="1"/>
  <c r="D1309" i="20" s="1"/>
  <c r="E1360" i="13"/>
  <c r="F1360" i="13" s="1"/>
  <c r="E322" i="13"/>
  <c r="F322" i="13" s="1"/>
  <c r="H233" i="13"/>
  <c r="I233" i="13"/>
  <c r="J1530" i="13"/>
  <c r="G420" i="20"/>
  <c r="E242" i="20"/>
  <c r="F242" i="20" s="1"/>
  <c r="I1585" i="20"/>
  <c r="J1880" i="13"/>
  <c r="H1586" i="20"/>
  <c r="J1443" i="13"/>
  <c r="G494" i="13"/>
  <c r="G1962" i="13"/>
  <c r="E757" i="13"/>
  <c r="F757" i="13" s="1"/>
  <c r="D758" i="13" s="1"/>
  <c r="E1017" i="13"/>
  <c r="F1017" i="13" s="1"/>
  <c r="E928" i="13"/>
  <c r="F928" i="13" s="1"/>
  <c r="E1791" i="13"/>
  <c r="F1791" i="13" s="1"/>
  <c r="D1792" i="13" s="1"/>
  <c r="E412" i="13"/>
  <c r="F412" i="13" s="1"/>
  <c r="D413" i="13" s="1"/>
  <c r="E1046" i="20"/>
  <c r="F1046" i="20" s="1"/>
  <c r="D1047" i="20" s="1"/>
  <c r="H841" i="13"/>
  <c r="I841" i="13"/>
  <c r="E1402" i="20"/>
  <c r="F1402" i="20" s="1"/>
  <c r="H1701" i="13"/>
  <c r="I1701" i="13"/>
  <c r="H1531" i="13"/>
  <c r="I1531" i="13"/>
  <c r="H1614" i="13"/>
  <c r="I1614" i="13"/>
  <c r="H660" i="13"/>
  <c r="I660" i="13"/>
  <c r="H493" i="13"/>
  <c r="I493" i="13"/>
  <c r="H420" i="20"/>
  <c r="E1882" i="13"/>
  <c r="F1882" i="13" s="1"/>
  <c r="G1269" i="13"/>
  <c r="G321" i="13"/>
  <c r="J1700" i="13"/>
  <c r="J926" i="13"/>
  <c r="G234" i="13"/>
  <c r="H506" i="20"/>
  <c r="J232" i="13"/>
  <c r="I2024" i="20"/>
  <c r="H149" i="13"/>
  <c r="I149" i="13"/>
  <c r="H1359" i="13"/>
  <c r="I1359" i="13"/>
  <c r="I862" i="20"/>
  <c r="E842" i="13"/>
  <c r="F842" i="13" s="1"/>
  <c r="E1702" i="13"/>
  <c r="F1702" i="13" s="1"/>
  <c r="E1532" i="13"/>
  <c r="F1532" i="13" s="1"/>
  <c r="H1881" i="13" l="1"/>
  <c r="J1881" i="13" s="1"/>
  <c r="J1102" i="13"/>
  <c r="I241" i="20"/>
  <c r="I506" i="20"/>
  <c r="G1103" i="13"/>
  <c r="H1103" i="13" s="1"/>
  <c r="D236" i="13"/>
  <c r="E236" i="13" s="1"/>
  <c r="F236" i="13" s="1"/>
  <c r="G235" i="13"/>
  <c r="H235" i="13" s="1"/>
  <c r="D496" i="13"/>
  <c r="E496" i="13" s="1"/>
  <c r="F496" i="13" s="1"/>
  <c r="G495" i="13"/>
  <c r="H495" i="13" s="1"/>
  <c r="D1403" i="20"/>
  <c r="E1403" i="20" s="1"/>
  <c r="F1403" i="20" s="1"/>
  <c r="G1402" i="20"/>
  <c r="D864" i="20"/>
  <c r="G863" i="20"/>
  <c r="G412" i="13"/>
  <c r="I412" i="13" s="1"/>
  <c r="G1791" i="13"/>
  <c r="I1791" i="13" s="1"/>
  <c r="G757" i="13"/>
  <c r="I757" i="13" s="1"/>
  <c r="E1104" i="13"/>
  <c r="F1104" i="13" s="1"/>
  <c r="D1105" i="13" s="1"/>
  <c r="E1105" i="13" s="1"/>
  <c r="F1105" i="13" s="1"/>
  <c r="G1846" i="20"/>
  <c r="G155" i="20"/>
  <c r="J149" i="13"/>
  <c r="J1790" i="13"/>
  <c r="I690" i="20"/>
  <c r="J660" i="13"/>
  <c r="I331" i="20"/>
  <c r="I781" i="20"/>
  <c r="J1614" i="13"/>
  <c r="J1701" i="13"/>
  <c r="I1224" i="20"/>
  <c r="I955" i="20"/>
  <c r="I1668" i="20"/>
  <c r="J233" i="13"/>
  <c r="J1016" i="13"/>
  <c r="D1703" i="13"/>
  <c r="G1702" i="13"/>
  <c r="D243" i="20"/>
  <c r="G242" i="20"/>
  <c r="H242" i="20"/>
  <c r="D843" i="13"/>
  <c r="G842" i="13"/>
  <c r="D323" i="13"/>
  <c r="G322" i="13"/>
  <c r="D1018" i="13"/>
  <c r="G1017" i="13"/>
  <c r="D1361" i="13"/>
  <c r="G1360" i="13"/>
  <c r="D1271" i="13"/>
  <c r="G1270" i="13"/>
  <c r="D2026" i="20"/>
  <c r="G2025" i="20"/>
  <c r="H2025" i="20"/>
  <c r="D1964" i="13"/>
  <c r="G1963" i="13"/>
  <c r="D1883" i="13"/>
  <c r="G1882" i="13"/>
  <c r="D151" i="13"/>
  <c r="G150" i="13"/>
  <c r="D929" i="13"/>
  <c r="G928" i="13"/>
  <c r="D1533" i="13"/>
  <c r="G1532" i="13"/>
  <c r="D1106" i="13"/>
  <c r="D1492" i="20"/>
  <c r="H1491" i="20"/>
  <c r="G1491" i="20"/>
  <c r="D508" i="20"/>
  <c r="H507" i="20"/>
  <c r="G507" i="20"/>
  <c r="H1791" i="13"/>
  <c r="E1757" i="20"/>
  <c r="F1757" i="20" s="1"/>
  <c r="E758" i="13"/>
  <c r="F758" i="13" s="1"/>
  <c r="E1847" i="20"/>
  <c r="F1847" i="20" s="1"/>
  <c r="D1848" i="20" s="1"/>
  <c r="E864" i="20"/>
  <c r="F864" i="20" s="1"/>
  <c r="E156" i="20"/>
  <c r="F156" i="20" s="1"/>
  <c r="D157" i="20" s="1"/>
  <c r="E1225" i="20"/>
  <c r="F1225" i="20" s="1"/>
  <c r="E1184" i="13"/>
  <c r="F1184" i="13" s="1"/>
  <c r="E1047" i="20"/>
  <c r="F1047" i="20" s="1"/>
  <c r="E662" i="13"/>
  <c r="F662" i="13" s="1"/>
  <c r="D663" i="13" s="1"/>
  <c r="E1936" i="20"/>
  <c r="F1936" i="20" s="1"/>
  <c r="H1183" i="13"/>
  <c r="I1183" i="13"/>
  <c r="E413" i="13"/>
  <c r="F413" i="13" s="1"/>
  <c r="D414" i="13" s="1"/>
  <c r="H234" i="13"/>
  <c r="I234" i="13"/>
  <c r="H1269" i="13"/>
  <c r="I1269" i="13"/>
  <c r="I420" i="20"/>
  <c r="G1046" i="20"/>
  <c r="E1792" i="13"/>
  <c r="F1792" i="13" s="1"/>
  <c r="H1962" i="13"/>
  <c r="I1962" i="13"/>
  <c r="H1308" i="20"/>
  <c r="H1756" i="20"/>
  <c r="G661" i="13"/>
  <c r="H421" i="20"/>
  <c r="E332" i="20"/>
  <c r="F332" i="20" s="1"/>
  <c r="E782" i="20"/>
  <c r="F782" i="20" s="1"/>
  <c r="I1136" i="20"/>
  <c r="H1444" i="13"/>
  <c r="I1444" i="13"/>
  <c r="E1309" i="20"/>
  <c r="F1309" i="20" s="1"/>
  <c r="D1310" i="20" s="1"/>
  <c r="I235" i="13"/>
  <c r="E422" i="20"/>
  <c r="F422" i="20" s="1"/>
  <c r="E691" i="20"/>
  <c r="F691" i="20" s="1"/>
  <c r="E1616" i="13"/>
  <c r="F1616" i="13" s="1"/>
  <c r="D1617" i="13" s="1"/>
  <c r="H321" i="13"/>
  <c r="I321" i="13"/>
  <c r="H1046" i="20"/>
  <c r="I1586" i="20"/>
  <c r="I1587" i="20" s="1"/>
  <c r="H1587" i="20"/>
  <c r="J1359" i="13"/>
  <c r="J493" i="13"/>
  <c r="J1531" i="13"/>
  <c r="H1402" i="20"/>
  <c r="J841" i="13"/>
  <c r="H494" i="13"/>
  <c r="I494" i="13"/>
  <c r="G1308" i="20"/>
  <c r="G1756" i="20"/>
  <c r="H1846" i="20"/>
  <c r="H863" i="20"/>
  <c r="J411" i="13"/>
  <c r="J927" i="13"/>
  <c r="H155" i="20"/>
  <c r="J756" i="13"/>
  <c r="G421" i="20"/>
  <c r="I1935" i="20"/>
  <c r="E956" i="20"/>
  <c r="F956" i="20" s="1"/>
  <c r="E1669" i="20"/>
  <c r="F1669" i="20" s="1"/>
  <c r="D1670" i="20" s="1"/>
  <c r="H1615" i="13"/>
  <c r="I1615" i="13"/>
  <c r="E1137" i="20"/>
  <c r="F1137" i="20" s="1"/>
  <c r="D1138" i="20" s="1"/>
  <c r="E1445" i="13"/>
  <c r="F1445" i="13" s="1"/>
  <c r="H412" i="13" l="1"/>
  <c r="J412" i="13" s="1"/>
  <c r="I1103" i="13"/>
  <c r="J1103" i="13" s="1"/>
  <c r="H757" i="13"/>
  <c r="J757" i="13" s="1"/>
  <c r="I495" i="13"/>
  <c r="J495" i="13" s="1"/>
  <c r="I1846" i="20"/>
  <c r="I863" i="20"/>
  <c r="I155" i="20"/>
  <c r="I1402" i="20"/>
  <c r="G1105" i="13"/>
  <c r="I1105" i="13" s="1"/>
  <c r="D497" i="13"/>
  <c r="E497" i="13" s="1"/>
  <c r="F497" i="13" s="1"/>
  <c r="G496" i="13"/>
  <c r="H496" i="13" s="1"/>
  <c r="D237" i="13"/>
  <c r="E237" i="13" s="1"/>
  <c r="F237" i="13" s="1"/>
  <c r="D238" i="13" s="1"/>
  <c r="G236" i="13"/>
  <c r="H236" i="13" s="1"/>
  <c r="D1937" i="20"/>
  <c r="E1937" i="20" s="1"/>
  <c r="F1937" i="20" s="1"/>
  <c r="H1936" i="20"/>
  <c r="G1936" i="20"/>
  <c r="D1185" i="13"/>
  <c r="E1185" i="13" s="1"/>
  <c r="F1185" i="13" s="1"/>
  <c r="G1184" i="13"/>
  <c r="I1184" i="13" s="1"/>
  <c r="D865" i="20"/>
  <c r="E865" i="20" s="1"/>
  <c r="F865" i="20" s="1"/>
  <c r="G864" i="20"/>
  <c r="H1137" i="20"/>
  <c r="G1847" i="20"/>
  <c r="G1104" i="13"/>
  <c r="G1137" i="20"/>
  <c r="G156" i="20"/>
  <c r="J1791" i="13"/>
  <c r="I2025" i="20"/>
  <c r="I421" i="20"/>
  <c r="J234" i="13"/>
  <c r="J494" i="13"/>
  <c r="J1183" i="13"/>
  <c r="I1491" i="20"/>
  <c r="J1615" i="13"/>
  <c r="J235" i="13"/>
  <c r="J1962" i="13"/>
  <c r="D783" i="20"/>
  <c r="G782" i="20"/>
  <c r="H782" i="20"/>
  <c r="D423" i="20"/>
  <c r="G422" i="20"/>
  <c r="H422" i="20"/>
  <c r="D957" i="20"/>
  <c r="G956" i="20"/>
  <c r="H956" i="20"/>
  <c r="D1758" i="20"/>
  <c r="G1757" i="20"/>
  <c r="H1757" i="20"/>
  <c r="D1048" i="20"/>
  <c r="G1047" i="20"/>
  <c r="H1047" i="20"/>
  <c r="D1226" i="20"/>
  <c r="H1225" i="20"/>
  <c r="G1225" i="20"/>
  <c r="D1446" i="13"/>
  <c r="G1445" i="13"/>
  <c r="D1404" i="20"/>
  <c r="G1403" i="20"/>
  <c r="H1403" i="20"/>
  <c r="D333" i="20"/>
  <c r="H332" i="20"/>
  <c r="G332" i="20"/>
  <c r="D692" i="20"/>
  <c r="G691" i="20"/>
  <c r="H691" i="20"/>
  <c r="D1793" i="13"/>
  <c r="G1792" i="13"/>
  <c r="D759" i="13"/>
  <c r="G758" i="13"/>
  <c r="E1670" i="20"/>
  <c r="F1670" i="20" s="1"/>
  <c r="H1532" i="13"/>
  <c r="I1532" i="13"/>
  <c r="E323" i="13"/>
  <c r="F323" i="13" s="1"/>
  <c r="E157" i="20"/>
  <c r="F157" i="20" s="1"/>
  <c r="E1848" i="20"/>
  <c r="F1848" i="20" s="1"/>
  <c r="D1849" i="20" s="1"/>
  <c r="I507" i="20"/>
  <c r="E1492" i="20"/>
  <c r="F1492" i="20" s="1"/>
  <c r="D1493" i="20" s="1"/>
  <c r="E1533" i="13"/>
  <c r="F1533" i="13" s="1"/>
  <c r="E151" i="13"/>
  <c r="F151" i="13" s="1"/>
  <c r="D152" i="13" s="1"/>
  <c r="E1964" i="13"/>
  <c r="F1964" i="13" s="1"/>
  <c r="H1270" i="13"/>
  <c r="I1270" i="13"/>
  <c r="H1017" i="13"/>
  <c r="I1017" i="13"/>
  <c r="H842" i="13"/>
  <c r="I842" i="13"/>
  <c r="E243" i="20"/>
  <c r="F243" i="20" s="1"/>
  <c r="D244" i="20" s="1"/>
  <c r="E1310" i="20"/>
  <c r="F1310" i="20" s="1"/>
  <c r="D1311" i="20" s="1"/>
  <c r="H150" i="13"/>
  <c r="I150" i="13"/>
  <c r="E2026" i="20"/>
  <c r="F2026" i="20" s="1"/>
  <c r="E1361" i="13"/>
  <c r="F1361" i="13" s="1"/>
  <c r="H1669" i="20"/>
  <c r="I1046" i="20"/>
  <c r="G1616" i="13"/>
  <c r="H1309" i="20"/>
  <c r="J1444" i="13"/>
  <c r="H661" i="13"/>
  <c r="I661" i="13"/>
  <c r="I1756" i="20"/>
  <c r="E508" i="20"/>
  <c r="F508" i="20" s="1"/>
  <c r="H928" i="13"/>
  <c r="I928" i="13"/>
  <c r="H1882" i="13"/>
  <c r="I1882" i="13"/>
  <c r="E1271" i="13"/>
  <c r="F1271" i="13" s="1"/>
  <c r="D1272" i="13" s="1"/>
  <c r="E1018" i="13"/>
  <c r="F1018" i="13" s="1"/>
  <c r="E843" i="13"/>
  <c r="F843" i="13" s="1"/>
  <c r="D844" i="13" s="1"/>
  <c r="H1702" i="13"/>
  <c r="I1702" i="13"/>
  <c r="E414" i="13"/>
  <c r="F414" i="13" s="1"/>
  <c r="E663" i="13"/>
  <c r="F663" i="13" s="1"/>
  <c r="H1963" i="13"/>
  <c r="I1963" i="13"/>
  <c r="E1617" i="13"/>
  <c r="F1617" i="13" s="1"/>
  <c r="E1138" i="20"/>
  <c r="F1138" i="20" s="1"/>
  <c r="D1139" i="20" s="1"/>
  <c r="G1669" i="20"/>
  <c r="J321" i="13"/>
  <c r="G1309" i="20"/>
  <c r="I1308" i="20"/>
  <c r="J1269" i="13"/>
  <c r="G413" i="13"/>
  <c r="G662" i="13"/>
  <c r="H156" i="20"/>
  <c r="H864" i="20"/>
  <c r="H1847" i="20"/>
  <c r="E1106" i="13"/>
  <c r="F1106" i="13" s="1"/>
  <c r="D1107" i="13" s="1"/>
  <c r="E929" i="13"/>
  <c r="F929" i="13" s="1"/>
  <c r="E1883" i="13"/>
  <c r="F1883" i="13" s="1"/>
  <c r="D1884" i="13" s="1"/>
  <c r="H1360" i="13"/>
  <c r="I1360" i="13"/>
  <c r="H322" i="13"/>
  <c r="I322" i="13"/>
  <c r="I242" i="20"/>
  <c r="E1703" i="13"/>
  <c r="F1703" i="13" s="1"/>
  <c r="H1184" i="13" l="1"/>
  <c r="J1184" i="13" s="1"/>
  <c r="I864" i="20"/>
  <c r="I236" i="13"/>
  <c r="J236" i="13" s="1"/>
  <c r="H1105" i="13"/>
  <c r="J1105" i="13" s="1"/>
  <c r="I1847" i="20"/>
  <c r="I1137" i="20"/>
  <c r="I156" i="20"/>
  <c r="I496" i="13"/>
  <c r="J496" i="13" s="1"/>
  <c r="I1936" i="20"/>
  <c r="D1965" i="13"/>
  <c r="E1965" i="13" s="1"/>
  <c r="F1965" i="13" s="1"/>
  <c r="D1966" i="13" s="1"/>
  <c r="G1964" i="13"/>
  <c r="I1964" i="13" s="1"/>
  <c r="I1104" i="13"/>
  <c r="H1104" i="13"/>
  <c r="G1106" i="13"/>
  <c r="H1106" i="13" s="1"/>
  <c r="J1963" i="13"/>
  <c r="J1702" i="13"/>
  <c r="I422" i="20"/>
  <c r="J928" i="13"/>
  <c r="J661" i="13"/>
  <c r="J842" i="13"/>
  <c r="J1270" i="13"/>
  <c r="J1360" i="13"/>
  <c r="J150" i="13"/>
  <c r="J1017" i="13"/>
  <c r="I1403" i="20"/>
  <c r="I1047" i="20"/>
  <c r="I782" i="20"/>
  <c r="I1309" i="20"/>
  <c r="J1532" i="13"/>
  <c r="I1757" i="20"/>
  <c r="D664" i="13"/>
  <c r="G663" i="13"/>
  <c r="D415" i="13"/>
  <c r="G414" i="13"/>
  <c r="D1186" i="13"/>
  <c r="G1185" i="13"/>
  <c r="D866" i="20"/>
  <c r="G865" i="20"/>
  <c r="H865" i="20"/>
  <c r="D1704" i="13"/>
  <c r="G1703" i="13"/>
  <c r="D1938" i="20"/>
  <c r="G1937" i="20"/>
  <c r="H1937" i="20"/>
  <c r="D158" i="20"/>
  <c r="G157" i="20"/>
  <c r="H157" i="20"/>
  <c r="D1019" i="13"/>
  <c r="G1018" i="13"/>
  <c r="D1534" i="13"/>
  <c r="G1533" i="13"/>
  <c r="D498" i="13"/>
  <c r="G497" i="13"/>
  <c r="D1671" i="20"/>
  <c r="H1670" i="20"/>
  <c r="G1670" i="20"/>
  <c r="D2027" i="20"/>
  <c r="G2026" i="20"/>
  <c r="H2026" i="20"/>
  <c r="D930" i="13"/>
  <c r="G929" i="13"/>
  <c r="D1618" i="13"/>
  <c r="G1617" i="13"/>
  <c r="D509" i="20"/>
  <c r="H508" i="20"/>
  <c r="G508" i="20"/>
  <c r="D1362" i="13"/>
  <c r="G1361" i="13"/>
  <c r="D324" i="13"/>
  <c r="G323" i="13"/>
  <c r="I1106" i="13"/>
  <c r="E152" i="13"/>
  <c r="F152" i="13" s="1"/>
  <c r="G1271" i="13"/>
  <c r="H1492" i="20"/>
  <c r="H1792" i="13"/>
  <c r="I1792" i="13"/>
  <c r="E692" i="20"/>
  <c r="F692" i="20" s="1"/>
  <c r="E1446" i="13"/>
  <c r="F1446" i="13" s="1"/>
  <c r="E957" i="20"/>
  <c r="F957" i="20" s="1"/>
  <c r="E1139" i="20"/>
  <c r="F1139" i="20" s="1"/>
  <c r="E1272" i="13"/>
  <c r="F1272" i="13" s="1"/>
  <c r="E244" i="20"/>
  <c r="F244" i="20" s="1"/>
  <c r="D245" i="20" s="1"/>
  <c r="E1493" i="20"/>
  <c r="F1493" i="20" s="1"/>
  <c r="E238" i="13"/>
  <c r="F238" i="13" s="1"/>
  <c r="D239" i="13" s="1"/>
  <c r="H1445" i="13"/>
  <c r="I1445" i="13"/>
  <c r="E423" i="20"/>
  <c r="F423" i="20" s="1"/>
  <c r="H1138" i="20"/>
  <c r="J322" i="13"/>
  <c r="H662" i="13"/>
  <c r="I662" i="13"/>
  <c r="G1138" i="20"/>
  <c r="H1616" i="13"/>
  <c r="I1616" i="13"/>
  <c r="H1310" i="20"/>
  <c r="H243" i="20"/>
  <c r="G1492" i="20"/>
  <c r="H1848" i="20"/>
  <c r="E1793" i="13"/>
  <c r="F1793" i="13" s="1"/>
  <c r="E1758" i="20"/>
  <c r="F1758" i="20" s="1"/>
  <c r="E1884" i="13"/>
  <c r="F1884" i="13" s="1"/>
  <c r="E844" i="13"/>
  <c r="F844" i="13" s="1"/>
  <c r="I1669" i="20"/>
  <c r="E1311" i="20"/>
  <c r="F1311" i="20" s="1"/>
  <c r="D1312" i="20" s="1"/>
  <c r="E1849" i="20"/>
  <c r="F1849" i="20" s="1"/>
  <c r="D1850" i="20" s="1"/>
  <c r="E759" i="13"/>
  <c r="F759" i="13" s="1"/>
  <c r="E333" i="20"/>
  <c r="F333" i="20" s="1"/>
  <c r="E1226" i="20"/>
  <c r="F1226" i="20" s="1"/>
  <c r="E1107" i="13"/>
  <c r="F1107" i="13" s="1"/>
  <c r="D1108" i="13" s="1"/>
  <c r="G1883" i="13"/>
  <c r="H413" i="13"/>
  <c r="I413" i="13"/>
  <c r="G843" i="13"/>
  <c r="J1882" i="13"/>
  <c r="G1310" i="20"/>
  <c r="G243" i="20"/>
  <c r="G151" i="13"/>
  <c r="G1848" i="20"/>
  <c r="G237" i="13"/>
  <c r="H758" i="13"/>
  <c r="I758" i="13"/>
  <c r="I691" i="20"/>
  <c r="I332" i="20"/>
  <c r="E1404" i="20"/>
  <c r="F1404" i="20" s="1"/>
  <c r="I1225" i="20"/>
  <c r="E1048" i="20"/>
  <c r="F1048" i="20" s="1"/>
  <c r="I956" i="20"/>
  <c r="E783" i="20"/>
  <c r="F783" i="20" s="1"/>
  <c r="D784" i="20" s="1"/>
  <c r="H1964" i="13" l="1"/>
  <c r="J1964" i="13" s="1"/>
  <c r="D1494" i="20"/>
  <c r="H1493" i="20"/>
  <c r="G1493" i="20"/>
  <c r="D1049" i="20"/>
  <c r="E1049" i="20" s="1"/>
  <c r="F1049" i="20" s="1"/>
  <c r="G1048" i="20"/>
  <c r="D1794" i="13"/>
  <c r="G1793" i="13"/>
  <c r="H1793" i="13" s="1"/>
  <c r="D334" i="20"/>
  <c r="E334" i="20" s="1"/>
  <c r="F334" i="20" s="1"/>
  <c r="G333" i="20"/>
  <c r="J1104" i="13"/>
  <c r="J413" i="13"/>
  <c r="J758" i="13"/>
  <c r="J1616" i="13"/>
  <c r="J1106" i="13"/>
  <c r="I1937" i="20"/>
  <c r="I1848" i="20"/>
  <c r="J1792" i="13"/>
  <c r="D1885" i="13"/>
  <c r="G1884" i="13"/>
  <c r="D153" i="13"/>
  <c r="G152" i="13"/>
  <c r="D1227" i="20"/>
  <c r="H1226" i="20"/>
  <c r="G1226" i="20"/>
  <c r="D760" i="13"/>
  <c r="G759" i="13"/>
  <c r="D1759" i="20"/>
  <c r="G1758" i="20"/>
  <c r="H1758" i="20"/>
  <c r="D1273" i="13"/>
  <c r="G1272" i="13"/>
  <c r="D693" i="20"/>
  <c r="H692" i="20"/>
  <c r="G692" i="20"/>
  <c r="D845" i="13"/>
  <c r="G844" i="13"/>
  <c r="D958" i="20"/>
  <c r="G957" i="20"/>
  <c r="H957" i="20"/>
  <c r="D424" i="20"/>
  <c r="H423" i="20"/>
  <c r="G423" i="20"/>
  <c r="D1447" i="13"/>
  <c r="G1446" i="13"/>
  <c r="D1405" i="20"/>
  <c r="G1404" i="20"/>
  <c r="H1404" i="20"/>
  <c r="D1140" i="20"/>
  <c r="G1139" i="20"/>
  <c r="H1139" i="20"/>
  <c r="E1108" i="13"/>
  <c r="F1108" i="13" s="1"/>
  <c r="D1109" i="13" s="1"/>
  <c r="E1850" i="20"/>
  <c r="F1850" i="20" s="1"/>
  <c r="E1618" i="13"/>
  <c r="F1618" i="13" s="1"/>
  <c r="E1938" i="20"/>
  <c r="F1938" i="20" s="1"/>
  <c r="H237" i="13"/>
  <c r="I237" i="13"/>
  <c r="E324" i="13"/>
  <c r="F324" i="13" s="1"/>
  <c r="I508" i="20"/>
  <c r="H929" i="13"/>
  <c r="I929" i="13"/>
  <c r="E2027" i="20"/>
  <c r="F2027" i="20" s="1"/>
  <c r="D2028" i="20" s="1"/>
  <c r="H497" i="13"/>
  <c r="I497" i="13"/>
  <c r="H1018" i="13"/>
  <c r="I1018" i="13"/>
  <c r="E158" i="20"/>
  <c r="F158" i="20" s="1"/>
  <c r="H1703" i="13"/>
  <c r="I1703" i="13"/>
  <c r="E866" i="20"/>
  <c r="F866" i="20" s="1"/>
  <c r="D867" i="20" s="1"/>
  <c r="E415" i="13"/>
  <c r="F415" i="13" s="1"/>
  <c r="H843" i="13"/>
  <c r="I843" i="13"/>
  <c r="E1312" i="20"/>
  <c r="F1312" i="20" s="1"/>
  <c r="D1313" i="20" s="1"/>
  <c r="E245" i="20"/>
  <c r="F245" i="20" s="1"/>
  <c r="D246" i="20" s="1"/>
  <c r="H323" i="13"/>
  <c r="I323" i="13"/>
  <c r="E239" i="13"/>
  <c r="F239" i="13" s="1"/>
  <c r="H783" i="20"/>
  <c r="G1107" i="13"/>
  <c r="H1849" i="20"/>
  <c r="H1311" i="20"/>
  <c r="E1794" i="13"/>
  <c r="F1794" i="13" s="1"/>
  <c r="D1795" i="13" s="1"/>
  <c r="I243" i="20"/>
  <c r="I1138" i="20"/>
  <c r="E1494" i="20"/>
  <c r="F1494" i="20" s="1"/>
  <c r="H244" i="20"/>
  <c r="I1492" i="20"/>
  <c r="H1271" i="13"/>
  <c r="I1271" i="13"/>
  <c r="H1361" i="13"/>
  <c r="I1361" i="13"/>
  <c r="E509" i="20"/>
  <c r="F509" i="20" s="1"/>
  <c r="D510" i="20" s="1"/>
  <c r="E930" i="13"/>
  <c r="F930" i="13" s="1"/>
  <c r="E498" i="13"/>
  <c r="F498" i="13" s="1"/>
  <c r="E1019" i="13"/>
  <c r="F1019" i="13" s="1"/>
  <c r="E1704" i="13"/>
  <c r="F1704" i="13" s="1"/>
  <c r="D1705" i="13" s="1"/>
  <c r="H1185" i="13"/>
  <c r="I1185" i="13"/>
  <c r="H663" i="13"/>
  <c r="I663" i="13"/>
  <c r="E784" i="20"/>
  <c r="F784" i="20" s="1"/>
  <c r="D785" i="20" s="1"/>
  <c r="E1966" i="13"/>
  <c r="F1966" i="13" s="1"/>
  <c r="E1671" i="20"/>
  <c r="F1671" i="20" s="1"/>
  <c r="E1534" i="13"/>
  <c r="F1534" i="13" s="1"/>
  <c r="H414" i="13"/>
  <c r="I414" i="13"/>
  <c r="G783" i="20"/>
  <c r="H1048" i="20"/>
  <c r="H151" i="13"/>
  <c r="I151" i="13"/>
  <c r="H1883" i="13"/>
  <c r="I1883" i="13"/>
  <c r="H333" i="20"/>
  <c r="G1849" i="20"/>
  <c r="G1311" i="20"/>
  <c r="I1310" i="20"/>
  <c r="J662" i="13"/>
  <c r="J1445" i="13"/>
  <c r="G238" i="13"/>
  <c r="G244" i="20"/>
  <c r="G1965" i="13"/>
  <c r="E1362" i="13"/>
  <c r="F1362" i="13" s="1"/>
  <c r="H1617" i="13"/>
  <c r="I1617" i="13"/>
  <c r="I2026" i="20"/>
  <c r="I1670" i="20"/>
  <c r="H1533" i="13"/>
  <c r="I1533" i="13"/>
  <c r="I157" i="20"/>
  <c r="I865" i="20"/>
  <c r="E1186" i="13"/>
  <c r="F1186" i="13" s="1"/>
  <c r="D1187" i="13" s="1"/>
  <c r="E664" i="13"/>
  <c r="F664" i="13" s="1"/>
  <c r="I333" i="20" l="1"/>
  <c r="D240" i="13"/>
  <c r="G239" i="13"/>
  <c r="H239" i="13" s="1"/>
  <c r="I1793" i="13"/>
  <c r="J1793" i="13" s="1"/>
  <c r="I1048" i="20"/>
  <c r="G866" i="20"/>
  <c r="H866" i="20"/>
  <c r="I1493" i="20"/>
  <c r="D1020" i="13"/>
  <c r="G1019" i="13"/>
  <c r="H1019" i="13" s="1"/>
  <c r="D499" i="13"/>
  <c r="E499" i="13" s="1"/>
  <c r="F499" i="13" s="1"/>
  <c r="G498" i="13"/>
  <c r="I498" i="13" s="1"/>
  <c r="D931" i="13"/>
  <c r="E931" i="13" s="1"/>
  <c r="F931" i="13" s="1"/>
  <c r="D932" i="13" s="1"/>
  <c r="G930" i="13"/>
  <c r="H930" i="13" s="1"/>
  <c r="J1533" i="13"/>
  <c r="J1617" i="13"/>
  <c r="J323" i="13"/>
  <c r="J1018" i="13"/>
  <c r="J151" i="13"/>
  <c r="J1271" i="13"/>
  <c r="J929" i="13"/>
  <c r="I1758" i="20"/>
  <c r="J1185" i="13"/>
  <c r="I244" i="20"/>
  <c r="I423" i="20"/>
  <c r="I692" i="20"/>
  <c r="D1363" i="13"/>
  <c r="G1362" i="13"/>
  <c r="D335" i="20"/>
  <c r="G334" i="20"/>
  <c r="H334" i="20"/>
  <c r="D665" i="13"/>
  <c r="G664" i="13"/>
  <c r="D1050" i="20"/>
  <c r="H1049" i="20"/>
  <c r="G1049" i="20"/>
  <c r="D1967" i="13"/>
  <c r="G1966" i="13"/>
  <c r="D416" i="13"/>
  <c r="G415" i="13"/>
  <c r="D1939" i="20"/>
  <c r="G1938" i="20"/>
  <c r="H1938" i="20"/>
  <c r="D1535" i="13"/>
  <c r="G1534" i="13"/>
  <c r="D1495" i="20"/>
  <c r="G1494" i="20"/>
  <c r="H1494" i="20"/>
  <c r="D1851" i="20"/>
  <c r="G1850" i="20"/>
  <c r="H1850" i="20"/>
  <c r="D1672" i="20"/>
  <c r="H1671" i="20"/>
  <c r="G1671" i="20"/>
  <c r="D159" i="20"/>
  <c r="G158" i="20"/>
  <c r="H158" i="20"/>
  <c r="D325" i="13"/>
  <c r="G324" i="13"/>
  <c r="D1619" i="13"/>
  <c r="G1618" i="13"/>
  <c r="E785" i="20"/>
  <c r="F785" i="20" s="1"/>
  <c r="E1705" i="13"/>
  <c r="F1705" i="13" s="1"/>
  <c r="D1706" i="13" s="1"/>
  <c r="E1795" i="13"/>
  <c r="F1795" i="13" s="1"/>
  <c r="E1313" i="20"/>
  <c r="F1313" i="20" s="1"/>
  <c r="H152" i="13"/>
  <c r="I152" i="13"/>
  <c r="H1965" i="13"/>
  <c r="I1965" i="13"/>
  <c r="E1020" i="13"/>
  <c r="F1020" i="13" s="1"/>
  <c r="D1021" i="13" s="1"/>
  <c r="I1311" i="20"/>
  <c r="E240" i="13"/>
  <c r="F240" i="13" s="1"/>
  <c r="E867" i="20"/>
  <c r="F867" i="20" s="1"/>
  <c r="D868" i="20" s="1"/>
  <c r="H2027" i="20"/>
  <c r="E1140" i="20"/>
  <c r="F1140" i="20" s="1"/>
  <c r="D1141" i="20" s="1"/>
  <c r="H1446" i="13"/>
  <c r="I1446" i="13"/>
  <c r="E424" i="20"/>
  <c r="F424" i="20" s="1"/>
  <c r="H844" i="13"/>
  <c r="I844" i="13"/>
  <c r="E693" i="20"/>
  <c r="F693" i="20" s="1"/>
  <c r="D694" i="20" s="1"/>
  <c r="E153" i="13"/>
  <c r="F153" i="13" s="1"/>
  <c r="D154" i="13" s="1"/>
  <c r="E1187" i="13"/>
  <c r="F1187" i="13" s="1"/>
  <c r="H498" i="13"/>
  <c r="E510" i="20"/>
  <c r="F510" i="20" s="1"/>
  <c r="I783" i="20"/>
  <c r="E246" i="20"/>
  <c r="F246" i="20" s="1"/>
  <c r="E2028" i="20"/>
  <c r="F2028" i="20" s="1"/>
  <c r="E1109" i="13"/>
  <c r="F1109" i="13" s="1"/>
  <c r="D1110" i="13" s="1"/>
  <c r="E1405" i="20"/>
  <c r="F1405" i="20" s="1"/>
  <c r="D1406" i="20" s="1"/>
  <c r="E958" i="20"/>
  <c r="F958" i="20" s="1"/>
  <c r="D959" i="20" s="1"/>
  <c r="E760" i="13"/>
  <c r="F760" i="13" s="1"/>
  <c r="J1883" i="13"/>
  <c r="J414" i="13"/>
  <c r="H784" i="20"/>
  <c r="J663" i="13"/>
  <c r="H509" i="20"/>
  <c r="J1361" i="13"/>
  <c r="I1849" i="20"/>
  <c r="H245" i="20"/>
  <c r="H1312" i="20"/>
  <c r="J843" i="13"/>
  <c r="G2027" i="20"/>
  <c r="G1108" i="13"/>
  <c r="I1404" i="20"/>
  <c r="E1447" i="13"/>
  <c r="F1447" i="13" s="1"/>
  <c r="I957" i="20"/>
  <c r="E845" i="13"/>
  <c r="F845" i="13" s="1"/>
  <c r="H1272" i="13"/>
  <c r="I1272" i="13"/>
  <c r="E1759" i="20"/>
  <c r="F1759" i="20" s="1"/>
  <c r="D1760" i="20" s="1"/>
  <c r="I1226" i="20"/>
  <c r="H1884" i="13"/>
  <c r="I1884" i="13"/>
  <c r="G1186" i="13"/>
  <c r="H238" i="13"/>
  <c r="I238" i="13"/>
  <c r="G784" i="20"/>
  <c r="G1704" i="13"/>
  <c r="I1019" i="13"/>
  <c r="G509" i="20"/>
  <c r="G1794" i="13"/>
  <c r="H1107" i="13"/>
  <c r="I1107" i="13"/>
  <c r="G245" i="20"/>
  <c r="G1312" i="20"/>
  <c r="J1703" i="13"/>
  <c r="J497" i="13"/>
  <c r="J237" i="13"/>
  <c r="I1139" i="20"/>
  <c r="E1273" i="13"/>
  <c r="F1273" i="13" s="1"/>
  <c r="H759" i="13"/>
  <c r="I759" i="13"/>
  <c r="E1227" i="20"/>
  <c r="F1227" i="20" s="1"/>
  <c r="D1228" i="20" s="1"/>
  <c r="E1885" i="13"/>
  <c r="F1885" i="13" s="1"/>
  <c r="D1886" i="13" s="1"/>
  <c r="I239" i="13" l="1"/>
  <c r="I930" i="13"/>
  <c r="J930" i="13" s="1"/>
  <c r="I866" i="20"/>
  <c r="D846" i="13"/>
  <c r="E846" i="13" s="1"/>
  <c r="F846" i="13" s="1"/>
  <c r="D847" i="13" s="1"/>
  <c r="G845" i="13"/>
  <c r="I845" i="13" s="1"/>
  <c r="D1188" i="13"/>
  <c r="E1188" i="13" s="1"/>
  <c r="F1188" i="13" s="1"/>
  <c r="D1189" i="13" s="1"/>
  <c r="G1187" i="13"/>
  <c r="H1187" i="13" s="1"/>
  <c r="G867" i="20"/>
  <c r="J1107" i="13"/>
  <c r="J1446" i="13"/>
  <c r="I158" i="20"/>
  <c r="I784" i="20"/>
  <c r="J1272" i="13"/>
  <c r="J1965" i="13"/>
  <c r="I1494" i="20"/>
  <c r="D511" i="20"/>
  <c r="G510" i="20"/>
  <c r="H510" i="20"/>
  <c r="D425" i="20"/>
  <c r="G424" i="20"/>
  <c r="H424" i="20"/>
  <c r="D241" i="13"/>
  <c r="G240" i="13"/>
  <c r="D1274" i="13"/>
  <c r="G1273" i="13"/>
  <c r="D761" i="13"/>
  <c r="G760" i="13"/>
  <c r="D247" i="20"/>
  <c r="G246" i="20"/>
  <c r="H246" i="20"/>
  <c r="D1314" i="20"/>
  <c r="G1313" i="20"/>
  <c r="H1313" i="20"/>
  <c r="D1448" i="13"/>
  <c r="G1447" i="13"/>
  <c r="G785" i="20"/>
  <c r="G786" i="20" s="1"/>
  <c r="H785" i="20"/>
  <c r="D2029" i="20"/>
  <c r="G2028" i="20"/>
  <c r="H2028" i="20"/>
  <c r="D500" i="13"/>
  <c r="G499" i="13"/>
  <c r="D1796" i="13"/>
  <c r="G1795" i="13"/>
  <c r="E1886" i="13"/>
  <c r="E1887" i="13" s="1"/>
  <c r="E959" i="20"/>
  <c r="F959" i="20" s="1"/>
  <c r="E694" i="20"/>
  <c r="F694" i="20" s="1"/>
  <c r="D695" i="20" s="1"/>
  <c r="E1141" i="20"/>
  <c r="F1141" i="20" s="1"/>
  <c r="G1141" i="20" s="1"/>
  <c r="E325" i="13"/>
  <c r="F325" i="13" s="1"/>
  <c r="E1495" i="20"/>
  <c r="F1495" i="20" s="1"/>
  <c r="H1966" i="13"/>
  <c r="I1966" i="13"/>
  <c r="E1050" i="20"/>
  <c r="F1050" i="20" s="1"/>
  <c r="G931" i="13"/>
  <c r="H1704" i="13"/>
  <c r="I1704" i="13"/>
  <c r="H1186" i="13"/>
  <c r="I1186" i="13"/>
  <c r="H1759" i="20"/>
  <c r="E868" i="20"/>
  <c r="F868" i="20" s="1"/>
  <c r="H1618" i="13"/>
  <c r="I1618" i="13"/>
  <c r="I1671" i="20"/>
  <c r="E1851" i="20"/>
  <c r="F1851" i="20" s="1"/>
  <c r="H1534" i="13"/>
  <c r="I1534" i="13"/>
  <c r="E1939" i="20"/>
  <c r="F1939" i="20" s="1"/>
  <c r="E1967" i="13"/>
  <c r="F1967" i="13" s="1"/>
  <c r="H664" i="13"/>
  <c r="I664" i="13"/>
  <c r="E335" i="20"/>
  <c r="F335" i="20" s="1"/>
  <c r="D336" i="20" s="1"/>
  <c r="E1760" i="20"/>
  <c r="F1760" i="20" s="1"/>
  <c r="D1761" i="20" s="1"/>
  <c r="E1110" i="13"/>
  <c r="F1110" i="13" s="1"/>
  <c r="E1706" i="13"/>
  <c r="F1706" i="13" s="1"/>
  <c r="H1227" i="20"/>
  <c r="J759" i="13"/>
  <c r="J239" i="13"/>
  <c r="H1794" i="13"/>
  <c r="I1794" i="13"/>
  <c r="J1884" i="13"/>
  <c r="G1759" i="20"/>
  <c r="I1312" i="20"/>
  <c r="I509" i="20"/>
  <c r="H958" i="20"/>
  <c r="H1405" i="20"/>
  <c r="J498" i="13"/>
  <c r="H693" i="20"/>
  <c r="J844" i="13"/>
  <c r="H1140" i="20"/>
  <c r="I2027" i="20"/>
  <c r="E1619" i="13"/>
  <c r="F1619" i="13" s="1"/>
  <c r="E1672" i="20"/>
  <c r="F1672" i="20" s="1"/>
  <c r="E1535" i="13"/>
  <c r="F1535" i="13" s="1"/>
  <c r="D1536" i="13" s="1"/>
  <c r="H415" i="13"/>
  <c r="I415" i="13"/>
  <c r="E665" i="13"/>
  <c r="F665" i="13" s="1"/>
  <c r="H1362" i="13"/>
  <c r="I1362" i="13"/>
  <c r="E1228" i="20"/>
  <c r="F1228" i="20" s="1"/>
  <c r="D1229" i="20" s="1"/>
  <c r="E932" i="13"/>
  <c r="F932" i="13" s="1"/>
  <c r="E1406" i="20"/>
  <c r="F1406" i="20" s="1"/>
  <c r="E154" i="13"/>
  <c r="F154" i="13" s="1"/>
  <c r="E1021" i="13"/>
  <c r="F1021" i="13" s="1"/>
  <c r="G1885" i="13"/>
  <c r="G1227" i="20"/>
  <c r="J1019" i="13"/>
  <c r="J238" i="13"/>
  <c r="H1108" i="13"/>
  <c r="I1108" i="13"/>
  <c r="I245" i="20"/>
  <c r="G958" i="20"/>
  <c r="G1405" i="20"/>
  <c r="G1109" i="13"/>
  <c r="G153" i="13"/>
  <c r="G693" i="20"/>
  <c r="G1140" i="20"/>
  <c r="H867" i="20"/>
  <c r="G1020" i="13"/>
  <c r="J152" i="13"/>
  <c r="G1705" i="13"/>
  <c r="H324" i="13"/>
  <c r="I324" i="13"/>
  <c r="E159" i="20"/>
  <c r="F159" i="20" s="1"/>
  <c r="I1850" i="20"/>
  <c r="I1938" i="20"/>
  <c r="E416" i="13"/>
  <c r="F416" i="13" s="1"/>
  <c r="I1049" i="20"/>
  <c r="I334" i="20"/>
  <c r="E1363" i="13"/>
  <c r="F1363" i="13" s="1"/>
  <c r="H845" i="13" l="1"/>
  <c r="J845" i="13" s="1"/>
  <c r="I1187" i="13"/>
  <c r="J1187" i="13" s="1"/>
  <c r="I867" i="20"/>
  <c r="D1620" i="13"/>
  <c r="E1620" i="13" s="1"/>
  <c r="F1620" i="13" s="1"/>
  <c r="D1621" i="13" s="1"/>
  <c r="G1619" i="13"/>
  <c r="H1619" i="13" s="1"/>
  <c r="D326" i="13"/>
  <c r="E326" i="13" s="1"/>
  <c r="F326" i="13" s="1"/>
  <c r="G325" i="13"/>
  <c r="I325" i="13" s="1"/>
  <c r="D1673" i="20"/>
  <c r="E1673" i="20" s="1"/>
  <c r="F1673" i="20" s="1"/>
  <c r="H1672" i="20"/>
  <c r="G1672" i="20"/>
  <c r="D1968" i="13"/>
  <c r="E1968" i="13" s="1"/>
  <c r="F1968" i="13" s="1"/>
  <c r="D1969" i="13" s="1"/>
  <c r="G1967" i="13"/>
  <c r="I1967" i="13" s="1"/>
  <c r="D1364" i="13"/>
  <c r="E1364" i="13" s="1"/>
  <c r="F1364" i="13" s="1"/>
  <c r="G1363" i="13"/>
  <c r="H1363" i="13" s="1"/>
  <c r="F1886" i="13"/>
  <c r="G1886" i="13" s="1"/>
  <c r="I1886" i="13" s="1"/>
  <c r="J1186" i="13"/>
  <c r="I246" i="20"/>
  <c r="I510" i="20"/>
  <c r="J1704" i="13"/>
  <c r="I958" i="20"/>
  <c r="G1142" i="20"/>
  <c r="I1313" i="20"/>
  <c r="I424" i="20"/>
  <c r="D933" i="13"/>
  <c r="G932" i="13"/>
  <c r="D1022" i="13"/>
  <c r="G1021" i="13"/>
  <c r="D1707" i="13"/>
  <c r="G1706" i="13"/>
  <c r="D869" i="20"/>
  <c r="G868" i="20"/>
  <c r="H868" i="20"/>
  <c r="D960" i="20"/>
  <c r="G959" i="20"/>
  <c r="H959" i="20"/>
  <c r="D417" i="13"/>
  <c r="G416" i="13"/>
  <c r="D1111" i="13"/>
  <c r="G1110" i="13"/>
  <c r="D666" i="13"/>
  <c r="G665" i="13"/>
  <c r="D1852" i="20"/>
  <c r="G1851" i="20"/>
  <c r="H1851" i="20"/>
  <c r="D1496" i="20"/>
  <c r="H1495" i="20"/>
  <c r="G1495" i="20"/>
  <c r="D155" i="13"/>
  <c r="G154" i="13"/>
  <c r="D1940" i="20"/>
  <c r="H1939" i="20"/>
  <c r="G1939" i="20"/>
  <c r="D1051" i="20"/>
  <c r="G1050" i="20"/>
  <c r="H1050" i="20"/>
  <c r="G159" i="20"/>
  <c r="G160" i="20" s="1"/>
  <c r="H159" i="20"/>
  <c r="D1407" i="20"/>
  <c r="G1406" i="20"/>
  <c r="H1406" i="20"/>
  <c r="E1229" i="20"/>
  <c r="F1229" i="20" s="1"/>
  <c r="E1536" i="13"/>
  <c r="F1536" i="13" s="1"/>
  <c r="E336" i="20"/>
  <c r="F336" i="20" s="1"/>
  <c r="E695" i="20"/>
  <c r="F695" i="20" s="1"/>
  <c r="D696" i="20" s="1"/>
  <c r="E1796" i="13"/>
  <c r="F1796" i="13" s="1"/>
  <c r="D1797" i="13" s="1"/>
  <c r="H1447" i="13"/>
  <c r="I1447" i="13"/>
  <c r="E1314" i="20"/>
  <c r="F1314" i="20" s="1"/>
  <c r="H760" i="13"/>
  <c r="I760" i="13"/>
  <c r="H240" i="13"/>
  <c r="I240" i="13"/>
  <c r="E425" i="20"/>
  <c r="F425" i="20" s="1"/>
  <c r="D426" i="20" s="1"/>
  <c r="G846" i="13"/>
  <c r="H1228" i="20"/>
  <c r="J1362" i="13"/>
  <c r="G1535" i="13"/>
  <c r="I693" i="20"/>
  <c r="J1794" i="13"/>
  <c r="I1227" i="20"/>
  <c r="G1188" i="13"/>
  <c r="J1966" i="13"/>
  <c r="H499" i="13"/>
  <c r="I499" i="13"/>
  <c r="E2029" i="20"/>
  <c r="F2029" i="20" s="1"/>
  <c r="E1448" i="13"/>
  <c r="F1448" i="13" s="1"/>
  <c r="E761" i="13"/>
  <c r="F761" i="13" s="1"/>
  <c r="E241" i="13"/>
  <c r="F241" i="13" s="1"/>
  <c r="H1705" i="13"/>
  <c r="I1705" i="13"/>
  <c r="E1761" i="20"/>
  <c r="F1761" i="20" s="1"/>
  <c r="E1189" i="13"/>
  <c r="F1189" i="13" s="1"/>
  <c r="D1190" i="13" s="1"/>
  <c r="H931" i="13"/>
  <c r="I931" i="13"/>
  <c r="J324" i="13"/>
  <c r="H1020" i="13"/>
  <c r="I1020" i="13"/>
  <c r="H153" i="13"/>
  <c r="I153" i="13"/>
  <c r="G1228" i="20"/>
  <c r="J415" i="13"/>
  <c r="H1760" i="20"/>
  <c r="H335" i="20"/>
  <c r="J664" i="13"/>
  <c r="J1618" i="13"/>
  <c r="H1141" i="20"/>
  <c r="H694" i="20"/>
  <c r="E500" i="13"/>
  <c r="F500" i="13" s="1"/>
  <c r="D501" i="13" s="1"/>
  <c r="I785" i="20"/>
  <c r="I786" i="20" s="1"/>
  <c r="H786" i="20"/>
  <c r="H1273" i="13"/>
  <c r="I1273" i="13"/>
  <c r="H1109" i="13"/>
  <c r="I1109" i="13"/>
  <c r="J1108" i="13"/>
  <c r="E847" i="13"/>
  <c r="F847" i="13" s="1"/>
  <c r="D848" i="13" s="1"/>
  <c r="H1885" i="13"/>
  <c r="I1885" i="13"/>
  <c r="I1140" i="20"/>
  <c r="I1405" i="20"/>
  <c r="G1760" i="20"/>
  <c r="G335" i="20"/>
  <c r="J1534" i="13"/>
  <c r="I1759" i="20"/>
  <c r="G694" i="20"/>
  <c r="H1795" i="13"/>
  <c r="I1795" i="13"/>
  <c r="I2028" i="20"/>
  <c r="E247" i="20"/>
  <c r="F247" i="20" s="1"/>
  <c r="D248" i="20" s="1"/>
  <c r="E1274" i="13"/>
  <c r="F1274" i="13" s="1"/>
  <c r="D1275" i="13" s="1"/>
  <c r="E511" i="20"/>
  <c r="F511" i="20" s="1"/>
  <c r="D512" i="20" s="1"/>
  <c r="H1967" i="13" l="1"/>
  <c r="J1967" i="13" s="1"/>
  <c r="H1886" i="13"/>
  <c r="J1886" i="13" s="1"/>
  <c r="H325" i="13"/>
  <c r="J325" i="13" s="1"/>
  <c r="I1363" i="13"/>
  <c r="J1363" i="13" s="1"/>
  <c r="I1619" i="13"/>
  <c r="J1619" i="13" s="1"/>
  <c r="I1672" i="20"/>
  <c r="J153" i="13"/>
  <c r="J1447" i="13"/>
  <c r="G695" i="20"/>
  <c r="D1537" i="13"/>
  <c r="E1537" i="13" s="1"/>
  <c r="F1537" i="13" s="1"/>
  <c r="D1538" i="13" s="1"/>
  <c r="G1536" i="13"/>
  <c r="H1536" i="13" s="1"/>
  <c r="G511" i="20"/>
  <c r="G1796" i="13"/>
  <c r="H695" i="20"/>
  <c r="I335" i="20"/>
  <c r="J240" i="13"/>
  <c r="J931" i="13"/>
  <c r="J1109" i="13"/>
  <c r="J1705" i="13"/>
  <c r="J499" i="13"/>
  <c r="I1050" i="20"/>
  <c r="I1939" i="20"/>
  <c r="I959" i="20"/>
  <c r="D1365" i="13"/>
  <c r="G1364" i="13"/>
  <c r="D337" i="20"/>
  <c r="G336" i="20"/>
  <c r="H336" i="20"/>
  <c r="D762" i="13"/>
  <c r="G761" i="13"/>
  <c r="D1449" i="13"/>
  <c r="G1448" i="13"/>
  <c r="D1315" i="20"/>
  <c r="G1314" i="20"/>
  <c r="H1314" i="20"/>
  <c r="D1230" i="20"/>
  <c r="H1229" i="20"/>
  <c r="G1229" i="20"/>
  <c r="D1674" i="20"/>
  <c r="H1673" i="20"/>
  <c r="G1673" i="20"/>
  <c r="D242" i="13"/>
  <c r="G241" i="13"/>
  <c r="D327" i="13"/>
  <c r="G326" i="13"/>
  <c r="D1762" i="20"/>
  <c r="G1761" i="20"/>
  <c r="H1761" i="20"/>
  <c r="D2030" i="20"/>
  <c r="G2029" i="20"/>
  <c r="H2029" i="20"/>
  <c r="E248" i="20"/>
  <c r="F248" i="20" s="1"/>
  <c r="E1969" i="13"/>
  <c r="F1969" i="13" s="1"/>
  <c r="D1970" i="13" s="1"/>
  <c r="H1535" i="13"/>
  <c r="I1535" i="13"/>
  <c r="H425" i="20"/>
  <c r="E1797" i="13"/>
  <c r="F1797" i="13" s="1"/>
  <c r="D1798" i="13" s="1"/>
  <c r="E1407" i="20"/>
  <c r="F1407" i="20" s="1"/>
  <c r="D1408" i="20" s="1"/>
  <c r="E1940" i="20"/>
  <c r="F1940" i="20" s="1"/>
  <c r="I1495" i="20"/>
  <c r="E1852" i="20"/>
  <c r="F1852" i="20" s="1"/>
  <c r="E1111" i="13"/>
  <c r="F1111" i="13" s="1"/>
  <c r="E869" i="20"/>
  <c r="F869" i="20" s="1"/>
  <c r="E1022" i="13"/>
  <c r="F1022" i="13" s="1"/>
  <c r="D1023" i="13" s="1"/>
  <c r="E1275" i="13"/>
  <c r="F1275" i="13" s="1"/>
  <c r="D1276" i="13" s="1"/>
  <c r="E1621" i="13"/>
  <c r="F1621" i="13" s="1"/>
  <c r="D1622" i="13" s="1"/>
  <c r="E501" i="13"/>
  <c r="F501" i="13" s="1"/>
  <c r="H1188" i="13"/>
  <c r="I1188" i="13"/>
  <c r="E426" i="20"/>
  <c r="F426" i="20" s="1"/>
  <c r="D427" i="20" s="1"/>
  <c r="H1796" i="13"/>
  <c r="I1796" i="13"/>
  <c r="H1021" i="13"/>
  <c r="I1021" i="13"/>
  <c r="H247" i="20"/>
  <c r="G847" i="13"/>
  <c r="I694" i="20"/>
  <c r="I1760" i="20"/>
  <c r="G425" i="20"/>
  <c r="I1887" i="13"/>
  <c r="I159" i="20"/>
  <c r="I160" i="20" s="1"/>
  <c r="H160" i="20"/>
  <c r="E1051" i="20"/>
  <c r="F1051" i="20" s="1"/>
  <c r="D1052" i="20" s="1"/>
  <c r="H154" i="13"/>
  <c r="I154" i="13"/>
  <c r="E1496" i="20"/>
  <c r="F1496" i="20" s="1"/>
  <c r="H665" i="13"/>
  <c r="I665" i="13"/>
  <c r="H416" i="13"/>
  <c r="I416" i="13"/>
  <c r="E960" i="20"/>
  <c r="F960" i="20" s="1"/>
  <c r="H1706" i="13"/>
  <c r="I1706" i="13"/>
  <c r="H932" i="13"/>
  <c r="I932" i="13"/>
  <c r="E1190" i="13"/>
  <c r="F1190" i="13" s="1"/>
  <c r="H846" i="13"/>
  <c r="I846" i="13"/>
  <c r="H1110" i="13"/>
  <c r="I1110" i="13"/>
  <c r="E512" i="20"/>
  <c r="F512" i="20" s="1"/>
  <c r="E848" i="13"/>
  <c r="F848" i="13" s="1"/>
  <c r="H511" i="20"/>
  <c r="G1274" i="13"/>
  <c r="G247" i="20"/>
  <c r="J1795" i="13"/>
  <c r="G1620" i="13"/>
  <c r="J1885" i="13"/>
  <c r="J1273" i="13"/>
  <c r="G500" i="13"/>
  <c r="I1141" i="20"/>
  <c r="I1142" i="20" s="1"/>
  <c r="H1142" i="20"/>
  <c r="G1968" i="13"/>
  <c r="J1020" i="13"/>
  <c r="G1189" i="13"/>
  <c r="I1228" i="20"/>
  <c r="J760" i="13"/>
  <c r="E696" i="20"/>
  <c r="F696" i="20" s="1"/>
  <c r="I1406" i="20"/>
  <c r="E155" i="13"/>
  <c r="F155" i="13" s="1"/>
  <c r="I1851" i="20"/>
  <c r="E666" i="13"/>
  <c r="F666" i="13" s="1"/>
  <c r="E417" i="13"/>
  <c r="F417" i="13" s="1"/>
  <c r="I868" i="20"/>
  <c r="E1707" i="13"/>
  <c r="F1707" i="13" s="1"/>
  <c r="E933" i="13"/>
  <c r="F933" i="13" s="1"/>
  <c r="D934" i="13" s="1"/>
  <c r="H1887" i="13" l="1"/>
  <c r="I1536" i="13"/>
  <c r="J1536" i="13" s="1"/>
  <c r="I511" i="20"/>
  <c r="I695" i="20"/>
  <c r="D1853" i="20"/>
  <c r="E1853" i="20" s="1"/>
  <c r="F1853" i="20" s="1"/>
  <c r="D1854" i="20" s="1"/>
  <c r="G1852" i="20"/>
  <c r="D502" i="13"/>
  <c r="E502" i="13" s="1"/>
  <c r="F502" i="13" s="1"/>
  <c r="D503" i="13" s="1"/>
  <c r="G501" i="13"/>
  <c r="I501" i="13" s="1"/>
  <c r="D1112" i="13"/>
  <c r="E1112" i="13" s="1"/>
  <c r="E1113" i="13" s="1"/>
  <c r="G1111" i="13"/>
  <c r="D418" i="13"/>
  <c r="E418" i="13" s="1"/>
  <c r="F418" i="13" s="1"/>
  <c r="D419" i="13" s="1"/>
  <c r="G417" i="13"/>
  <c r="H417" i="13" s="1"/>
  <c r="H1407" i="20"/>
  <c r="J416" i="13"/>
  <c r="G1407" i="20"/>
  <c r="J154" i="13"/>
  <c r="I2029" i="20"/>
  <c r="I1314" i="20"/>
  <c r="J932" i="13"/>
  <c r="J1796" i="13"/>
  <c r="G696" i="20"/>
  <c r="G697" i="20" s="1"/>
  <c r="H696" i="20"/>
  <c r="D849" i="13"/>
  <c r="G848" i="13"/>
  <c r="D1941" i="20"/>
  <c r="H1940" i="20"/>
  <c r="G1940" i="20"/>
  <c r="D156" i="13"/>
  <c r="G155" i="13"/>
  <c r="D513" i="20"/>
  <c r="H512" i="20"/>
  <c r="G512" i="20"/>
  <c r="D961" i="20"/>
  <c r="H960" i="20"/>
  <c r="G960" i="20"/>
  <c r="D667" i="13"/>
  <c r="G666" i="13"/>
  <c r="D1191" i="13"/>
  <c r="G1190" i="13"/>
  <c r="D870" i="20"/>
  <c r="H869" i="20"/>
  <c r="G869" i="20"/>
  <c r="D1708" i="13"/>
  <c r="G1707" i="13"/>
  <c r="D1497" i="20"/>
  <c r="G1496" i="20"/>
  <c r="H1496" i="20"/>
  <c r="D249" i="20"/>
  <c r="H248" i="20"/>
  <c r="G248" i="20"/>
  <c r="E1052" i="20"/>
  <c r="F1052" i="20" s="1"/>
  <c r="H501" i="13"/>
  <c r="E1276" i="13"/>
  <c r="F1276" i="13" s="1"/>
  <c r="H1111" i="13"/>
  <c r="I1111" i="13"/>
  <c r="E1798" i="13"/>
  <c r="F1798" i="13" s="1"/>
  <c r="D1799" i="13" s="1"/>
  <c r="H241" i="13"/>
  <c r="I241" i="13"/>
  <c r="E1674" i="20"/>
  <c r="F1674" i="20" s="1"/>
  <c r="D1675" i="20" s="1"/>
  <c r="E1449" i="13"/>
  <c r="F1449" i="13" s="1"/>
  <c r="H1968" i="13"/>
  <c r="I1968" i="13"/>
  <c r="I247" i="20"/>
  <c r="E1023" i="13"/>
  <c r="F1023" i="13" s="1"/>
  <c r="D1024" i="13" s="1"/>
  <c r="E1970" i="13"/>
  <c r="F1970" i="13" s="1"/>
  <c r="D1971" i="13" s="1"/>
  <c r="E1762" i="20"/>
  <c r="F1762" i="20" s="1"/>
  <c r="E242" i="13"/>
  <c r="F242" i="13" s="1"/>
  <c r="D243" i="13" s="1"/>
  <c r="H761" i="13"/>
  <c r="I761" i="13"/>
  <c r="E337" i="20"/>
  <c r="F337" i="20" s="1"/>
  <c r="H847" i="13"/>
  <c r="I847" i="13"/>
  <c r="E427" i="20"/>
  <c r="F427" i="20" s="1"/>
  <c r="E1622" i="13"/>
  <c r="F1622" i="13" s="1"/>
  <c r="E1538" i="13"/>
  <c r="F1538" i="13" s="1"/>
  <c r="D1539" i="13" s="1"/>
  <c r="H1274" i="13"/>
  <c r="I1274" i="13"/>
  <c r="J1706" i="13"/>
  <c r="J665" i="13"/>
  <c r="H1051" i="20"/>
  <c r="J1887" i="13"/>
  <c r="J1021" i="13"/>
  <c r="H426" i="20"/>
  <c r="J1188" i="13"/>
  <c r="G1022" i="13"/>
  <c r="E1408" i="20"/>
  <c r="F1408" i="20" s="1"/>
  <c r="G1408" i="20" s="1"/>
  <c r="G1537" i="13"/>
  <c r="I425" i="20"/>
  <c r="E2030" i="20"/>
  <c r="F2030" i="20" s="1"/>
  <c r="H326" i="13"/>
  <c r="I326" i="13"/>
  <c r="I1229" i="20"/>
  <c r="E1315" i="20"/>
  <c r="F1315" i="20" s="1"/>
  <c r="E762" i="13"/>
  <c r="F762" i="13" s="1"/>
  <c r="D763" i="13" s="1"/>
  <c r="H1364" i="13"/>
  <c r="I1364" i="13"/>
  <c r="E934" i="13"/>
  <c r="F934" i="13" s="1"/>
  <c r="D935" i="13" s="1"/>
  <c r="H500" i="13"/>
  <c r="I500" i="13"/>
  <c r="G933" i="13"/>
  <c r="H1189" i="13"/>
  <c r="I1189" i="13"/>
  <c r="H1620" i="13"/>
  <c r="I1620" i="13"/>
  <c r="J1110" i="13"/>
  <c r="J846" i="13"/>
  <c r="G1051" i="20"/>
  <c r="G426" i="20"/>
  <c r="G1621" i="13"/>
  <c r="G1275" i="13"/>
  <c r="H1852" i="20"/>
  <c r="G1797" i="13"/>
  <c r="J1535" i="13"/>
  <c r="G1969" i="13"/>
  <c r="I1761" i="20"/>
  <c r="E327" i="13"/>
  <c r="F327" i="13" s="1"/>
  <c r="I1673" i="20"/>
  <c r="E1230" i="20"/>
  <c r="F1230" i="20" s="1"/>
  <c r="H1448" i="13"/>
  <c r="I1448" i="13"/>
  <c r="I336" i="20"/>
  <c r="E1365" i="13"/>
  <c r="F1365" i="13" s="1"/>
  <c r="D1366" i="13" s="1"/>
  <c r="I1852" i="20" l="1"/>
  <c r="I1407" i="20"/>
  <c r="I417" i="13"/>
  <c r="J417" i="13" s="1"/>
  <c r="G1409" i="20"/>
  <c r="D428" i="20"/>
  <c r="E428" i="20" s="1"/>
  <c r="F428" i="20" s="1"/>
  <c r="G427" i="20"/>
  <c r="H427" i="20"/>
  <c r="D1316" i="20"/>
  <c r="E1316" i="20" s="1"/>
  <c r="F1316" i="20" s="1"/>
  <c r="D1317" i="20" s="1"/>
  <c r="H1315" i="20"/>
  <c r="G1315" i="20"/>
  <c r="D2031" i="20"/>
  <c r="E2031" i="20" s="1"/>
  <c r="F2031" i="20" s="1"/>
  <c r="D2032" i="20" s="1"/>
  <c r="G2030" i="20"/>
  <c r="D1450" i="13"/>
  <c r="E1450" i="13" s="1"/>
  <c r="F1450" i="13" s="1"/>
  <c r="D1451" i="13" s="1"/>
  <c r="G1449" i="13"/>
  <c r="H1449" i="13" s="1"/>
  <c r="F1112" i="13"/>
  <c r="G1112" i="13" s="1"/>
  <c r="I1112" i="13" s="1"/>
  <c r="I248" i="20"/>
  <c r="I869" i="20"/>
  <c r="J326" i="13"/>
  <c r="J847" i="13"/>
  <c r="J1968" i="13"/>
  <c r="I1496" i="20"/>
  <c r="J1274" i="13"/>
  <c r="J1189" i="13"/>
  <c r="J501" i="13"/>
  <c r="D1623" i="13"/>
  <c r="G1622" i="13"/>
  <c r="D1763" i="20"/>
  <c r="H1762" i="20"/>
  <c r="G1762" i="20"/>
  <c r="D328" i="13"/>
  <c r="G327" i="13"/>
  <c r="H1112" i="13"/>
  <c r="H1113" i="13" s="1"/>
  <c r="D1277" i="13"/>
  <c r="G1276" i="13"/>
  <c r="G1052" i="20"/>
  <c r="G1053" i="20" s="1"/>
  <c r="H1052" i="20"/>
  <c r="G1230" i="20"/>
  <c r="G1231" i="20" s="1"/>
  <c r="H1230" i="20"/>
  <c r="D338" i="20"/>
  <c r="G337" i="20"/>
  <c r="H337" i="20"/>
  <c r="E935" i="13"/>
  <c r="F935" i="13" s="1"/>
  <c r="E1539" i="13"/>
  <c r="F1539" i="13" s="1"/>
  <c r="D1540" i="13" s="1"/>
  <c r="E243" i="13"/>
  <c r="F243" i="13" s="1"/>
  <c r="E1675" i="20"/>
  <c r="F1675" i="20" s="1"/>
  <c r="E249" i="20"/>
  <c r="F249" i="20" s="1"/>
  <c r="E667" i="13"/>
  <c r="F667" i="13" s="1"/>
  <c r="D668" i="13" s="1"/>
  <c r="E156" i="13"/>
  <c r="F156" i="13" s="1"/>
  <c r="H1969" i="13"/>
  <c r="I1969" i="13"/>
  <c r="G934" i="13"/>
  <c r="H1408" i="20"/>
  <c r="H1022" i="13"/>
  <c r="I1022" i="13"/>
  <c r="E1024" i="13"/>
  <c r="F1024" i="13" s="1"/>
  <c r="D1025" i="13" s="1"/>
  <c r="G1798" i="13"/>
  <c r="E1708" i="13"/>
  <c r="F1708" i="13" s="1"/>
  <c r="H1190" i="13"/>
  <c r="I1190" i="13"/>
  <c r="I512" i="20"/>
  <c r="E849" i="13"/>
  <c r="F849" i="13" s="1"/>
  <c r="E1971" i="13"/>
  <c r="F1971" i="13" s="1"/>
  <c r="E503" i="13"/>
  <c r="F503" i="13" s="1"/>
  <c r="H1707" i="13"/>
  <c r="I1707" i="13"/>
  <c r="E870" i="20"/>
  <c r="F870" i="20" s="1"/>
  <c r="H848" i="13"/>
  <c r="I848" i="13"/>
  <c r="H1275" i="13"/>
  <c r="I1275" i="13"/>
  <c r="H933" i="13"/>
  <c r="I933" i="13"/>
  <c r="E763" i="13"/>
  <c r="F763" i="13" s="1"/>
  <c r="D764" i="13" s="1"/>
  <c r="G1365" i="13"/>
  <c r="J1448" i="13"/>
  <c r="H1621" i="13"/>
  <c r="I1621" i="13"/>
  <c r="J500" i="13"/>
  <c r="G762" i="13"/>
  <c r="I1051" i="20"/>
  <c r="J761" i="13"/>
  <c r="G242" i="13"/>
  <c r="H1853" i="20"/>
  <c r="G1023" i="13"/>
  <c r="G502" i="13"/>
  <c r="H1674" i="20"/>
  <c r="J241" i="13"/>
  <c r="E1191" i="13"/>
  <c r="F1191" i="13" s="1"/>
  <c r="I960" i="20"/>
  <c r="E513" i="20"/>
  <c r="F513" i="20" s="1"/>
  <c r="D514" i="20" s="1"/>
  <c r="I1940" i="20"/>
  <c r="I696" i="20"/>
  <c r="I697" i="20" s="1"/>
  <c r="H697" i="20"/>
  <c r="E1366" i="13"/>
  <c r="F1366" i="13" s="1"/>
  <c r="H1537" i="13"/>
  <c r="I1537" i="13"/>
  <c r="E419" i="13"/>
  <c r="F419" i="13" s="1"/>
  <c r="D420" i="13" s="1"/>
  <c r="E1854" i="20"/>
  <c r="F1854" i="20" s="1"/>
  <c r="E1799" i="13"/>
  <c r="F1799" i="13" s="1"/>
  <c r="D1800" i="13" s="1"/>
  <c r="H1797" i="13"/>
  <c r="I1797" i="13"/>
  <c r="J1620" i="13"/>
  <c r="J1364" i="13"/>
  <c r="H2030" i="20"/>
  <c r="I426" i="20"/>
  <c r="G418" i="13"/>
  <c r="G1538" i="13"/>
  <c r="G1970" i="13"/>
  <c r="G1853" i="20"/>
  <c r="G1674" i="20"/>
  <c r="J1111" i="13"/>
  <c r="E1497" i="20"/>
  <c r="F1497" i="20" s="1"/>
  <c r="H666" i="13"/>
  <c r="I666" i="13"/>
  <c r="E961" i="20"/>
  <c r="F961" i="20" s="1"/>
  <c r="H155" i="13"/>
  <c r="I155" i="13"/>
  <c r="E1941" i="20"/>
  <c r="F1941" i="20" s="1"/>
  <c r="I2030" i="20" l="1"/>
  <c r="J1621" i="13"/>
  <c r="I1315" i="20"/>
  <c r="I427" i="20"/>
  <c r="D157" i="13"/>
  <c r="G156" i="13"/>
  <c r="I1449" i="13"/>
  <c r="J1449" i="13" s="1"/>
  <c r="D1367" i="13"/>
  <c r="E1367" i="13" s="1"/>
  <c r="F1367" i="13" s="1"/>
  <c r="D1368" i="13" s="1"/>
  <c r="G1366" i="13"/>
  <c r="J1537" i="13"/>
  <c r="H513" i="20"/>
  <c r="J933" i="13"/>
  <c r="J848" i="13"/>
  <c r="D936" i="13"/>
  <c r="E936" i="13" s="1"/>
  <c r="F936" i="13" s="1"/>
  <c r="D937" i="13" s="1"/>
  <c r="G935" i="13"/>
  <c r="H935" i="13" s="1"/>
  <c r="G513" i="20"/>
  <c r="J1190" i="13"/>
  <c r="J1022" i="13"/>
  <c r="J1969" i="13"/>
  <c r="I1762" i="20"/>
  <c r="J1797" i="13"/>
  <c r="I1853" i="20"/>
  <c r="I337" i="20"/>
  <c r="D1709" i="13"/>
  <c r="G1708" i="13"/>
  <c r="D1942" i="20"/>
  <c r="G1941" i="20"/>
  <c r="H1941" i="20"/>
  <c r="D1972" i="13"/>
  <c r="G1971" i="13"/>
  <c r="G1854" i="20"/>
  <c r="G1855" i="20" s="1"/>
  <c r="H1854" i="20"/>
  <c r="D850" i="13"/>
  <c r="G849" i="13"/>
  <c r="G1497" i="20"/>
  <c r="G1498" i="20" s="1"/>
  <c r="H1497" i="20"/>
  <c r="D871" i="20"/>
  <c r="H870" i="20"/>
  <c r="G870" i="20"/>
  <c r="G249" i="20"/>
  <c r="G250" i="20" s="1"/>
  <c r="H249" i="20"/>
  <c r="D244" i="13"/>
  <c r="G243" i="13"/>
  <c r="D1192" i="13"/>
  <c r="G1191" i="13"/>
  <c r="D962" i="20"/>
  <c r="H961" i="20"/>
  <c r="G961" i="20"/>
  <c r="D429" i="20"/>
  <c r="G428" i="20"/>
  <c r="H428" i="20"/>
  <c r="D504" i="13"/>
  <c r="G503" i="13"/>
  <c r="G1675" i="20"/>
  <c r="G1676" i="20" s="1"/>
  <c r="H1675" i="20"/>
  <c r="H1366" i="13"/>
  <c r="I1366" i="13"/>
  <c r="H762" i="13"/>
  <c r="I762" i="13"/>
  <c r="E764" i="13"/>
  <c r="F764" i="13" s="1"/>
  <c r="E1451" i="13"/>
  <c r="F1451" i="13" s="1"/>
  <c r="H934" i="13"/>
  <c r="I934" i="13"/>
  <c r="E668" i="13"/>
  <c r="F668" i="13" s="1"/>
  <c r="E1540" i="13"/>
  <c r="F1540" i="13" s="1"/>
  <c r="J155" i="13"/>
  <c r="H1538" i="13"/>
  <c r="I1538" i="13"/>
  <c r="H1316" i="20"/>
  <c r="E420" i="13"/>
  <c r="E421" i="13" s="1"/>
  <c r="I1674" i="20"/>
  <c r="H242" i="13"/>
  <c r="I242" i="13"/>
  <c r="H1365" i="13"/>
  <c r="I1365" i="13"/>
  <c r="E157" i="13"/>
  <c r="F157" i="13" s="1"/>
  <c r="I1230" i="20"/>
  <c r="I1231" i="20" s="1"/>
  <c r="H1231" i="20"/>
  <c r="H1276" i="13"/>
  <c r="I1276" i="13"/>
  <c r="H327" i="13"/>
  <c r="I327" i="13"/>
  <c r="E1763" i="20"/>
  <c r="F1763" i="20" s="1"/>
  <c r="D1764" i="20" s="1"/>
  <c r="E1800" i="13"/>
  <c r="E1801" i="13" s="1"/>
  <c r="E1025" i="13"/>
  <c r="F1025" i="13" s="1"/>
  <c r="D1026" i="13" s="1"/>
  <c r="H418" i="13"/>
  <c r="I418" i="13"/>
  <c r="G1316" i="20"/>
  <c r="G419" i="13"/>
  <c r="E514" i="20"/>
  <c r="F514" i="20" s="1"/>
  <c r="H502" i="13"/>
  <c r="I502" i="13"/>
  <c r="H2031" i="20"/>
  <c r="H1798" i="13"/>
  <c r="I1798" i="13"/>
  <c r="G1539" i="13"/>
  <c r="E1277" i="13"/>
  <c r="F1277" i="13" s="1"/>
  <c r="E328" i="13"/>
  <c r="F328" i="13" s="1"/>
  <c r="D329" i="13" s="1"/>
  <c r="H1622" i="13"/>
  <c r="I1622" i="13"/>
  <c r="H1970" i="13"/>
  <c r="I1970" i="13"/>
  <c r="E1317" i="20"/>
  <c r="F1317" i="20" s="1"/>
  <c r="E2032" i="20"/>
  <c r="F2032" i="20" s="1"/>
  <c r="G2032" i="20" s="1"/>
  <c r="H156" i="13"/>
  <c r="I156" i="13"/>
  <c r="E338" i="20"/>
  <c r="F338" i="20" s="1"/>
  <c r="J666" i="13"/>
  <c r="G1799" i="13"/>
  <c r="H1023" i="13"/>
  <c r="I1023" i="13"/>
  <c r="G2031" i="20"/>
  <c r="G763" i="13"/>
  <c r="J1275" i="13"/>
  <c r="J1707" i="13"/>
  <c r="G1450" i="13"/>
  <c r="G1024" i="13"/>
  <c r="I1408" i="20"/>
  <c r="I1409" i="20" s="1"/>
  <c r="H1409" i="20"/>
  <c r="G667" i="13"/>
  <c r="I1052" i="20"/>
  <c r="I1053" i="20" s="1"/>
  <c r="H1053" i="20"/>
  <c r="J1112" i="13"/>
  <c r="J1113" i="13" s="1"/>
  <c r="I1113" i="13"/>
  <c r="E1623" i="13"/>
  <c r="F1623" i="13" s="1"/>
  <c r="I935" i="13" l="1"/>
  <c r="J935" i="13" s="1"/>
  <c r="D1624" i="13"/>
  <c r="G1623" i="13"/>
  <c r="I1623" i="13" s="1"/>
  <c r="G936" i="13"/>
  <c r="I936" i="13" s="1"/>
  <c r="I513" i="20"/>
  <c r="J1023" i="13"/>
  <c r="J1970" i="13"/>
  <c r="J1798" i="13"/>
  <c r="G2033" i="20"/>
  <c r="J242" i="13"/>
  <c r="I961" i="20"/>
  <c r="J1276" i="13"/>
  <c r="J934" i="13"/>
  <c r="J762" i="13"/>
  <c r="I428" i="20"/>
  <c r="D1318" i="20"/>
  <c r="G1317" i="20"/>
  <c r="H1317" i="20"/>
  <c r="D339" i="20"/>
  <c r="G338" i="20"/>
  <c r="H338" i="20"/>
  <c r="D515" i="20"/>
  <c r="G514" i="20"/>
  <c r="H514" i="20"/>
  <c r="D1541" i="13"/>
  <c r="G1540" i="13"/>
  <c r="D1452" i="13"/>
  <c r="G1451" i="13"/>
  <c r="D1278" i="13"/>
  <c r="G1277" i="13"/>
  <c r="D158" i="13"/>
  <c r="G157" i="13"/>
  <c r="D669" i="13"/>
  <c r="G668" i="13"/>
  <c r="D765" i="13"/>
  <c r="G764" i="13"/>
  <c r="H1450" i="13"/>
  <c r="I1450" i="13"/>
  <c r="E1026" i="13"/>
  <c r="E1027" i="13" s="1"/>
  <c r="H243" i="13"/>
  <c r="I243" i="13"/>
  <c r="H2032" i="20"/>
  <c r="G328" i="13"/>
  <c r="G1025" i="13"/>
  <c r="F1800" i="13"/>
  <c r="G1800" i="13" s="1"/>
  <c r="E937" i="13"/>
  <c r="F937" i="13" s="1"/>
  <c r="E962" i="20"/>
  <c r="F962" i="20" s="1"/>
  <c r="D963" i="20" s="1"/>
  <c r="E244" i="13"/>
  <c r="F244" i="13" s="1"/>
  <c r="D245" i="13" s="1"/>
  <c r="I870" i="20"/>
  <c r="H849" i="13"/>
  <c r="I849" i="13"/>
  <c r="H1971" i="13"/>
  <c r="I1971" i="13"/>
  <c r="E1942" i="20"/>
  <c r="F1942" i="20" s="1"/>
  <c r="D1943" i="20" s="1"/>
  <c r="I1675" i="20"/>
  <c r="I1676" i="20" s="1"/>
  <c r="H1676" i="20"/>
  <c r="E1624" i="13"/>
  <c r="F1624" i="13" s="1"/>
  <c r="I2031" i="20"/>
  <c r="G1367" i="13"/>
  <c r="J418" i="13"/>
  <c r="H1763" i="20"/>
  <c r="J327" i="13"/>
  <c r="J1365" i="13"/>
  <c r="I1316" i="20"/>
  <c r="J1366" i="13"/>
  <c r="H503" i="13"/>
  <c r="I503" i="13"/>
  <c r="E429" i="20"/>
  <c r="F429" i="20" s="1"/>
  <c r="G429" i="20" s="1"/>
  <c r="G430" i="20" s="1"/>
  <c r="H1191" i="13"/>
  <c r="I1191" i="13"/>
  <c r="I249" i="20"/>
  <c r="I250" i="20" s="1"/>
  <c r="H250" i="20"/>
  <c r="E871" i="20"/>
  <c r="F871" i="20" s="1"/>
  <c r="E850" i="13"/>
  <c r="F850" i="13" s="1"/>
  <c r="E1972" i="13"/>
  <c r="E1973" i="13" s="1"/>
  <c r="H1708" i="13"/>
  <c r="I1708" i="13"/>
  <c r="H667" i="13"/>
  <c r="I667" i="13"/>
  <c r="H419" i="13"/>
  <c r="I419" i="13"/>
  <c r="E1764" i="20"/>
  <c r="F1764" i="20"/>
  <c r="G1764" i="20" s="1"/>
  <c r="H1623" i="13"/>
  <c r="H1024" i="13"/>
  <c r="I1024" i="13"/>
  <c r="H763" i="13"/>
  <c r="I763" i="13"/>
  <c r="H1799" i="13"/>
  <c r="I1799" i="13"/>
  <c r="J156" i="13"/>
  <c r="J1622" i="13"/>
  <c r="E329" i="13"/>
  <c r="F329" i="13" s="1"/>
  <c r="D330" i="13" s="1"/>
  <c r="H1539" i="13"/>
  <c r="I1539" i="13"/>
  <c r="J502" i="13"/>
  <c r="E1368" i="13"/>
  <c r="F1368" i="13" s="1"/>
  <c r="D1369" i="13" s="1"/>
  <c r="G1763" i="20"/>
  <c r="F420" i="13"/>
  <c r="G420" i="13" s="1"/>
  <c r="J1538" i="13"/>
  <c r="E504" i="13"/>
  <c r="F504" i="13" s="1"/>
  <c r="D505" i="13" s="1"/>
  <c r="E1192" i="13"/>
  <c r="F1192" i="13" s="1"/>
  <c r="D1193" i="13" s="1"/>
  <c r="I1497" i="20"/>
  <c r="I1498" i="20" s="1"/>
  <c r="H1498" i="20"/>
  <c r="I1854" i="20"/>
  <c r="I1855" i="20" s="1"/>
  <c r="H1855" i="20"/>
  <c r="I1941" i="20"/>
  <c r="E1709" i="13"/>
  <c r="F1709" i="13" s="1"/>
  <c r="D1710" i="13" s="1"/>
  <c r="H936" i="13" l="1"/>
  <c r="F1026" i="13"/>
  <c r="G1026" i="13" s="1"/>
  <c r="I1026" i="13" s="1"/>
  <c r="G329" i="13"/>
  <c r="I329" i="13" s="1"/>
  <c r="J763" i="13"/>
  <c r="J1623" i="13"/>
  <c r="I338" i="20"/>
  <c r="J1799" i="13"/>
  <c r="J1024" i="13"/>
  <c r="J936" i="13"/>
  <c r="J419" i="13"/>
  <c r="J1708" i="13"/>
  <c r="J243" i="13"/>
  <c r="J1450" i="13"/>
  <c r="I1317" i="20"/>
  <c r="G1765" i="20"/>
  <c r="J667" i="13"/>
  <c r="J1191" i="13"/>
  <c r="J503" i="13"/>
  <c r="D938" i="13"/>
  <c r="G937" i="13"/>
  <c r="D872" i="20"/>
  <c r="G871" i="20"/>
  <c r="H871" i="20"/>
  <c r="H1026" i="13"/>
  <c r="D1625" i="13"/>
  <c r="G1624" i="13"/>
  <c r="D851" i="13"/>
  <c r="G850" i="13"/>
  <c r="E1710" i="13"/>
  <c r="F1710" i="13" s="1"/>
  <c r="E505" i="13"/>
  <c r="F505" i="13" s="1"/>
  <c r="D506" i="13" s="1"/>
  <c r="H329" i="13"/>
  <c r="E245" i="13"/>
  <c r="F245" i="13" s="1"/>
  <c r="E963" i="20"/>
  <c r="F963" i="20" s="1"/>
  <c r="G963" i="20" s="1"/>
  <c r="H1800" i="13"/>
  <c r="H1801" i="13" s="1"/>
  <c r="I1800" i="13"/>
  <c r="E765" i="13"/>
  <c r="F765" i="13" s="1"/>
  <c r="D766" i="13" s="1"/>
  <c r="E158" i="13"/>
  <c r="F158" i="13" s="1"/>
  <c r="D159" i="13" s="1"/>
  <c r="E1452" i="13"/>
  <c r="F1452" i="13" s="1"/>
  <c r="D1453" i="13" s="1"/>
  <c r="E339" i="20"/>
  <c r="F339" i="20" s="1"/>
  <c r="G1368" i="13"/>
  <c r="J1539" i="13"/>
  <c r="H1942" i="20"/>
  <c r="J1971" i="13"/>
  <c r="H962" i="20"/>
  <c r="H1025" i="13"/>
  <c r="I1025" i="13"/>
  <c r="H668" i="13"/>
  <c r="I668" i="13"/>
  <c r="H1277" i="13"/>
  <c r="I1277" i="13"/>
  <c r="H1540" i="13"/>
  <c r="I1540" i="13"/>
  <c r="E515" i="20"/>
  <c r="F515" i="20" s="1"/>
  <c r="D516" i="20" s="1"/>
  <c r="E1193" i="13"/>
  <c r="F1193" i="13" s="1"/>
  <c r="E1369" i="13"/>
  <c r="F1369" i="13" s="1"/>
  <c r="D1370" i="13" s="1"/>
  <c r="H1764" i="20"/>
  <c r="F1972" i="13"/>
  <c r="G1972" i="13" s="1"/>
  <c r="H429" i="20"/>
  <c r="H1367" i="13"/>
  <c r="I1367" i="13"/>
  <c r="G1942" i="20"/>
  <c r="G962" i="20"/>
  <c r="H328" i="13"/>
  <c r="I328" i="13"/>
  <c r="E669" i="13"/>
  <c r="F669" i="13" s="1"/>
  <c r="E1278" i="13"/>
  <c r="F1278" i="13" s="1"/>
  <c r="E1541" i="13"/>
  <c r="F1541" i="13" s="1"/>
  <c r="I1763" i="20"/>
  <c r="E1943" i="20"/>
  <c r="F1943" i="20" s="1"/>
  <c r="G1709" i="13"/>
  <c r="G1192" i="13"/>
  <c r="G504" i="13"/>
  <c r="H420" i="13"/>
  <c r="H421" i="13" s="1"/>
  <c r="I420" i="13"/>
  <c r="E330" i="13"/>
  <c r="F330" i="13" s="1"/>
  <c r="J849" i="13"/>
  <c r="G244" i="13"/>
  <c r="I2032" i="20"/>
  <c r="I2033" i="20" s="1"/>
  <c r="H2033" i="20"/>
  <c r="H764" i="13"/>
  <c r="I764" i="13"/>
  <c r="H157" i="13"/>
  <c r="I157" i="13"/>
  <c r="H1451" i="13"/>
  <c r="I1451" i="13"/>
  <c r="I514" i="20"/>
  <c r="E1318" i="20"/>
  <c r="F1318" i="20" s="1"/>
  <c r="D1319" i="20" s="1"/>
  <c r="D670" i="13" l="1"/>
  <c r="G669" i="13"/>
  <c r="I669" i="13" s="1"/>
  <c r="D331" i="13"/>
  <c r="E331" i="13" s="1"/>
  <c r="F331" i="13" s="1"/>
  <c r="G330" i="13"/>
  <c r="H330" i="13" s="1"/>
  <c r="D1711" i="13"/>
  <c r="G1710" i="13"/>
  <c r="I1710" i="13" s="1"/>
  <c r="J1540" i="13"/>
  <c r="J668" i="13"/>
  <c r="J329" i="13"/>
  <c r="J157" i="13"/>
  <c r="J1277" i="13"/>
  <c r="J1025" i="13"/>
  <c r="I1942" i="20"/>
  <c r="G964" i="20"/>
  <c r="D246" i="13"/>
  <c r="G245" i="13"/>
  <c r="G1943" i="20"/>
  <c r="G1944" i="20" s="1"/>
  <c r="H1943" i="20"/>
  <c r="D1542" i="13"/>
  <c r="G1541" i="13"/>
  <c r="D1194" i="13"/>
  <c r="G1193" i="13"/>
  <c r="H339" i="20"/>
  <c r="G339" i="20"/>
  <c r="G340" i="20" s="1"/>
  <c r="D1279" i="13"/>
  <c r="G1278" i="13"/>
  <c r="E1370" i="13"/>
  <c r="E1371" i="13" s="1"/>
  <c r="E159" i="13"/>
  <c r="F159" i="13" s="1"/>
  <c r="D160" i="13" s="1"/>
  <c r="E506" i="13"/>
  <c r="E507" i="13" s="1"/>
  <c r="E1625" i="13"/>
  <c r="F1625" i="13" s="1"/>
  <c r="H850" i="13"/>
  <c r="I850" i="13"/>
  <c r="J1026" i="13"/>
  <c r="I1027" i="13"/>
  <c r="E872" i="20"/>
  <c r="F872" i="20" s="1"/>
  <c r="H1709" i="13"/>
  <c r="I1709" i="13"/>
  <c r="H669" i="13"/>
  <c r="J1800" i="13"/>
  <c r="J1801" i="13" s="1"/>
  <c r="I1801" i="13"/>
  <c r="E670" i="13"/>
  <c r="F670" i="13" s="1"/>
  <c r="D671" i="13" s="1"/>
  <c r="I429" i="20"/>
  <c r="I430" i="20" s="1"/>
  <c r="H430" i="20"/>
  <c r="E766" i="13"/>
  <c r="E767" i="13" s="1"/>
  <c r="H1318" i="20"/>
  <c r="H504" i="13"/>
  <c r="I504" i="13"/>
  <c r="H1972" i="13"/>
  <c r="H1973" i="13" s="1"/>
  <c r="I1972" i="13"/>
  <c r="G1369" i="13"/>
  <c r="H515" i="20"/>
  <c r="I962" i="20"/>
  <c r="H1368" i="13"/>
  <c r="I1368" i="13"/>
  <c r="G765" i="13"/>
  <c r="H963" i="20"/>
  <c r="E1711" i="13"/>
  <c r="F1711" i="13" s="1"/>
  <c r="D1712" i="13" s="1"/>
  <c r="E851" i="13"/>
  <c r="F851" i="13" s="1"/>
  <c r="H1027" i="13"/>
  <c r="H937" i="13"/>
  <c r="I937" i="13"/>
  <c r="E1319" i="20"/>
  <c r="F1319" i="20" s="1"/>
  <c r="J420" i="13"/>
  <c r="J421" i="13" s="1"/>
  <c r="I421" i="13"/>
  <c r="E516" i="20"/>
  <c r="F516" i="20" s="1"/>
  <c r="D517" i="20" s="1"/>
  <c r="E1453" i="13"/>
  <c r="F1453" i="13"/>
  <c r="D1454" i="13" s="1"/>
  <c r="H1710" i="13"/>
  <c r="G1318" i="20"/>
  <c r="J1451" i="13"/>
  <c r="J764" i="13"/>
  <c r="H244" i="13"/>
  <c r="I244" i="13"/>
  <c r="H1192" i="13"/>
  <c r="I1192" i="13"/>
  <c r="J328" i="13"/>
  <c r="J1367" i="13"/>
  <c r="I1764" i="20"/>
  <c r="I1765" i="20" s="1"/>
  <c r="H1765" i="20"/>
  <c r="G515" i="20"/>
  <c r="G1452" i="13"/>
  <c r="G158" i="13"/>
  <c r="G505" i="13"/>
  <c r="H1624" i="13"/>
  <c r="I1624" i="13"/>
  <c r="I871" i="20"/>
  <c r="E938" i="13"/>
  <c r="F938" i="13" s="1"/>
  <c r="F1370" i="13" l="1"/>
  <c r="G1370" i="13" s="1"/>
  <c r="H1370" i="13" s="1"/>
  <c r="I330" i="13"/>
  <c r="J1624" i="13"/>
  <c r="D873" i="20"/>
  <c r="E873" i="20" s="1"/>
  <c r="F873" i="20" s="1"/>
  <c r="D874" i="20" s="1"/>
  <c r="H872" i="20"/>
  <c r="G1711" i="13"/>
  <c r="H1711" i="13" s="1"/>
  <c r="J850" i="13"/>
  <c r="J244" i="13"/>
  <c r="J937" i="13"/>
  <c r="J504" i="13"/>
  <c r="J1027" i="13"/>
  <c r="J1709" i="13"/>
  <c r="J1192" i="13"/>
  <c r="J330" i="13"/>
  <c r="J669" i="13"/>
  <c r="D332" i="13"/>
  <c r="G331" i="13"/>
  <c r="G1319" i="20"/>
  <c r="G1320" i="20" s="1"/>
  <c r="H1319" i="20"/>
  <c r="D939" i="13"/>
  <c r="G938" i="13"/>
  <c r="D1626" i="13"/>
  <c r="G1625" i="13"/>
  <c r="I1370" i="13"/>
  <c r="D852" i="13"/>
  <c r="G851" i="13"/>
  <c r="H1452" i="13"/>
  <c r="I1452" i="13"/>
  <c r="E1454" i="13"/>
  <c r="F1454" i="13" s="1"/>
  <c r="D1455" i="13" s="1"/>
  <c r="E160" i="13"/>
  <c r="F160" i="13" s="1"/>
  <c r="D161" i="13" s="1"/>
  <c r="H1278" i="13"/>
  <c r="I1278" i="13"/>
  <c r="H1193" i="13"/>
  <c r="I1193" i="13"/>
  <c r="I1943" i="20"/>
  <c r="I1944" i="20" s="1"/>
  <c r="H1944" i="20"/>
  <c r="J1710" i="13"/>
  <c r="I963" i="20"/>
  <c r="I964" i="20" s="1"/>
  <c r="H964" i="20"/>
  <c r="F766" i="13"/>
  <c r="G766" i="13" s="1"/>
  <c r="G670" i="13"/>
  <c r="G872" i="20"/>
  <c r="E1279" i="13"/>
  <c r="F1279" i="13" s="1"/>
  <c r="D1280" i="13" s="1"/>
  <c r="E1194" i="13"/>
  <c r="F1194" i="13"/>
  <c r="D1195" i="13" s="1"/>
  <c r="E517" i="20"/>
  <c r="F517" i="20" s="1"/>
  <c r="H516" i="20"/>
  <c r="E1712" i="13"/>
  <c r="F1712" i="13" s="1"/>
  <c r="H765" i="13"/>
  <c r="I765" i="13"/>
  <c r="I515" i="20"/>
  <c r="E671" i="13"/>
  <c r="F671" i="13" s="1"/>
  <c r="H1541" i="13"/>
  <c r="I1541" i="13"/>
  <c r="H245" i="13"/>
  <c r="I245" i="13"/>
  <c r="J1972" i="13"/>
  <c r="J1973" i="13" s="1"/>
  <c r="I1973" i="13"/>
  <c r="H505" i="13"/>
  <c r="I505" i="13"/>
  <c r="H158" i="13"/>
  <c r="I158" i="13"/>
  <c r="G1453" i="13"/>
  <c r="G516" i="20"/>
  <c r="J1368" i="13"/>
  <c r="H1369" i="13"/>
  <c r="I1369" i="13"/>
  <c r="I1318" i="20"/>
  <c r="F506" i="13"/>
  <c r="G506" i="13" s="1"/>
  <c r="G159" i="13"/>
  <c r="I339" i="20"/>
  <c r="I340" i="20" s="1"/>
  <c r="H340" i="20"/>
  <c r="E1542" i="13"/>
  <c r="E1543" i="13" s="1"/>
  <c r="E246" i="13"/>
  <c r="F246" i="13" s="1"/>
  <c r="I872" i="20" l="1"/>
  <c r="I1711" i="13"/>
  <c r="D1713" i="13"/>
  <c r="G1712" i="13"/>
  <c r="I1712" i="13" s="1"/>
  <c r="D518" i="20"/>
  <c r="G517" i="20"/>
  <c r="H517" i="20"/>
  <c r="F1542" i="13"/>
  <c r="G1542" i="13" s="1"/>
  <c r="H1542" i="13" s="1"/>
  <c r="H1543" i="13" s="1"/>
  <c r="G1279" i="13"/>
  <c r="I1279" i="13" s="1"/>
  <c r="J505" i="13"/>
  <c r="J245" i="13"/>
  <c r="J765" i="13"/>
  <c r="J1278" i="13"/>
  <c r="J1711" i="13"/>
  <c r="D247" i="13"/>
  <c r="G246" i="13"/>
  <c r="D672" i="13"/>
  <c r="G671" i="13"/>
  <c r="H766" i="13"/>
  <c r="H767" i="13" s="1"/>
  <c r="I766" i="13"/>
  <c r="H851" i="13"/>
  <c r="I851" i="13"/>
  <c r="E1713" i="13"/>
  <c r="F1713" i="13" s="1"/>
  <c r="E852" i="13"/>
  <c r="F852" i="13" s="1"/>
  <c r="D853" i="13" s="1"/>
  <c r="E1626" i="13"/>
  <c r="F1626" i="13" s="1"/>
  <c r="H506" i="13"/>
  <c r="H507" i="13" s="1"/>
  <c r="I506" i="13"/>
  <c r="E1455" i="13"/>
  <c r="F1455" i="13" s="1"/>
  <c r="D1456" i="13" s="1"/>
  <c r="H873" i="20"/>
  <c r="E1280" i="13"/>
  <c r="F1280" i="13" s="1"/>
  <c r="D1281" i="13" s="1"/>
  <c r="J1369" i="13"/>
  <c r="H1453" i="13"/>
  <c r="I1453" i="13"/>
  <c r="G873" i="20"/>
  <c r="I516" i="20"/>
  <c r="E518" i="20"/>
  <c r="F518" i="20" s="1"/>
  <c r="G1194" i="13"/>
  <c r="J1193" i="13"/>
  <c r="J1452" i="13"/>
  <c r="J1370" i="13"/>
  <c r="I1371" i="13"/>
  <c r="H938" i="13"/>
  <c r="I938" i="13"/>
  <c r="H331" i="13"/>
  <c r="I331" i="13"/>
  <c r="E874" i="20"/>
  <c r="F874" i="20" s="1"/>
  <c r="E1195" i="13"/>
  <c r="F1195" i="13" s="1"/>
  <c r="H1279" i="13"/>
  <c r="E161" i="13"/>
  <c r="E162" i="13" s="1"/>
  <c r="H1625" i="13"/>
  <c r="I1625" i="13"/>
  <c r="I1319" i="20"/>
  <c r="I1320" i="20" s="1"/>
  <c r="H1320" i="20"/>
  <c r="H159" i="13"/>
  <c r="I159" i="13"/>
  <c r="J158" i="13"/>
  <c r="J1541" i="13"/>
  <c r="H670" i="13"/>
  <c r="I670" i="13"/>
  <c r="G160" i="13"/>
  <c r="G1454" i="13"/>
  <c r="H1371" i="13"/>
  <c r="E939" i="13"/>
  <c r="F939" i="13" s="1"/>
  <c r="E332" i="13"/>
  <c r="F332" i="13" s="1"/>
  <c r="D333" i="13" s="1"/>
  <c r="I1542" i="13" l="1"/>
  <c r="J1542" i="13" s="1"/>
  <c r="J1543" i="13" s="1"/>
  <c r="H1712" i="13"/>
  <c r="J1712" i="13" s="1"/>
  <c r="I517" i="20"/>
  <c r="D1627" i="13"/>
  <c r="E1627" i="13" s="1"/>
  <c r="F1627" i="13" s="1"/>
  <c r="D1628" i="13" s="1"/>
  <c r="G1626" i="13"/>
  <c r="H1626" i="13" s="1"/>
  <c r="F161" i="13"/>
  <c r="G161" i="13" s="1"/>
  <c r="H161" i="13" s="1"/>
  <c r="G332" i="13"/>
  <c r="H332" i="13" s="1"/>
  <c r="J1371" i="13"/>
  <c r="J670" i="13"/>
  <c r="J159" i="13"/>
  <c r="J1625" i="13"/>
  <c r="I873" i="20"/>
  <c r="J938" i="13"/>
  <c r="J331" i="13"/>
  <c r="J851" i="13"/>
  <c r="G518" i="20"/>
  <c r="G519" i="20" s="1"/>
  <c r="H518" i="20"/>
  <c r="D1196" i="13"/>
  <c r="G1195" i="13"/>
  <c r="G874" i="20"/>
  <c r="G875" i="20" s="1"/>
  <c r="H874" i="20"/>
  <c r="D940" i="13"/>
  <c r="G939" i="13"/>
  <c r="D1714" i="13"/>
  <c r="G1713" i="13"/>
  <c r="H1194" i="13"/>
  <c r="I1194" i="13"/>
  <c r="E1281" i="13"/>
  <c r="F1281" i="13" s="1"/>
  <c r="J506" i="13"/>
  <c r="J507" i="13" s="1"/>
  <c r="I507" i="13"/>
  <c r="E672" i="13"/>
  <c r="F672" i="13" s="1"/>
  <c r="E333" i="13"/>
  <c r="F333" i="13" s="1"/>
  <c r="J766" i="13"/>
  <c r="J767" i="13" s="1"/>
  <c r="I767" i="13"/>
  <c r="H246" i="13"/>
  <c r="I246" i="13"/>
  <c r="H1454" i="13"/>
  <c r="I1454" i="13"/>
  <c r="E1456" i="13"/>
  <c r="E1457" i="13" s="1"/>
  <c r="E853" i="13"/>
  <c r="F853" i="13" s="1"/>
  <c r="D854" i="13" s="1"/>
  <c r="H671" i="13"/>
  <c r="I671" i="13"/>
  <c r="H160" i="13"/>
  <c r="I160" i="13"/>
  <c r="J1279" i="13"/>
  <c r="J1453" i="13"/>
  <c r="G1280" i="13"/>
  <c r="G1455" i="13"/>
  <c r="G852" i="13"/>
  <c r="E247" i="13"/>
  <c r="F247" i="13" s="1"/>
  <c r="I161" i="13" l="1"/>
  <c r="I162" i="13" s="1"/>
  <c r="I1543" i="13"/>
  <c r="I332" i="13"/>
  <c r="J332" i="13" s="1"/>
  <c r="F1456" i="13"/>
  <c r="G1456" i="13" s="1"/>
  <c r="H1456" i="13" s="1"/>
  <c r="I1626" i="13"/>
  <c r="J1626" i="13" s="1"/>
  <c r="J1194" i="13"/>
  <c r="J246" i="13"/>
  <c r="D673" i="13"/>
  <c r="G672" i="13"/>
  <c r="D334" i="13"/>
  <c r="G333" i="13"/>
  <c r="D248" i="13"/>
  <c r="G247" i="13"/>
  <c r="D1282" i="13"/>
  <c r="G1281" i="13"/>
  <c r="H939" i="13"/>
  <c r="I939" i="13"/>
  <c r="E940" i="13"/>
  <c r="E941" i="13" s="1"/>
  <c r="E1196" i="13"/>
  <c r="F1196" i="13" s="1"/>
  <c r="D1197" i="13" s="1"/>
  <c r="E854" i="13"/>
  <c r="E855" i="13" s="1"/>
  <c r="H1455" i="13"/>
  <c r="I1455" i="13"/>
  <c r="J160" i="13"/>
  <c r="J671" i="13"/>
  <c r="G853" i="13"/>
  <c r="J1454" i="13"/>
  <c r="H162" i="13"/>
  <c r="H1713" i="13"/>
  <c r="I1713" i="13"/>
  <c r="I874" i="20"/>
  <c r="I875" i="20" s="1"/>
  <c r="H875" i="20"/>
  <c r="I518" i="20"/>
  <c r="I519" i="20" s="1"/>
  <c r="H519" i="20"/>
  <c r="E1628" i="13"/>
  <c r="E1629" i="13" s="1"/>
  <c r="H1195" i="13"/>
  <c r="I1195" i="13"/>
  <c r="H852" i="13"/>
  <c r="I852" i="13"/>
  <c r="H1280" i="13"/>
  <c r="I1280" i="13"/>
  <c r="G1627" i="13"/>
  <c r="E1714" i="13"/>
  <c r="E1715" i="13" s="1"/>
  <c r="J161" i="13" l="1"/>
  <c r="J162" i="13" s="1"/>
  <c r="I1456" i="13"/>
  <c r="J1456" i="13" s="1"/>
  <c r="F1714" i="13"/>
  <c r="G1714" i="13" s="1"/>
  <c r="I1714" i="13" s="1"/>
  <c r="G1196" i="13"/>
  <c r="H1196" i="13" s="1"/>
  <c r="J852" i="13"/>
  <c r="J1713" i="13"/>
  <c r="J939" i="13"/>
  <c r="E1197" i="13"/>
  <c r="F1197" i="13" s="1"/>
  <c r="D1198" i="13" s="1"/>
  <c r="H1457" i="13"/>
  <c r="E334" i="13"/>
  <c r="E335" i="13" s="1"/>
  <c r="H333" i="13"/>
  <c r="I333" i="13"/>
  <c r="H1627" i="13"/>
  <c r="I1627" i="13"/>
  <c r="H1281" i="13"/>
  <c r="I1281" i="13"/>
  <c r="H247" i="13"/>
  <c r="I247" i="13"/>
  <c r="H672" i="13"/>
  <c r="I672" i="13"/>
  <c r="H853" i="13"/>
  <c r="I853" i="13"/>
  <c r="J1280" i="13"/>
  <c r="J1195" i="13"/>
  <c r="F1628" i="13"/>
  <c r="G1628" i="13" s="1"/>
  <c r="J1455" i="13"/>
  <c r="F854" i="13"/>
  <c r="G854" i="13" s="1"/>
  <c r="F940" i="13"/>
  <c r="G940" i="13" s="1"/>
  <c r="E1282" i="13"/>
  <c r="F1282" i="13" s="1"/>
  <c r="D1283" i="13" s="1"/>
  <c r="E248" i="13"/>
  <c r="E249" i="13" s="1"/>
  <c r="E673" i="13"/>
  <c r="F673" i="13" s="1"/>
  <c r="H1714" i="13" l="1"/>
  <c r="H1715" i="13" s="1"/>
  <c r="I1457" i="13"/>
  <c r="I1196" i="13"/>
  <c r="J1196" i="13" s="1"/>
  <c r="J853" i="13"/>
  <c r="J247" i="13"/>
  <c r="J1627" i="13"/>
  <c r="F248" i="13"/>
  <c r="G248" i="13" s="1"/>
  <c r="I248" i="13" s="1"/>
  <c r="G1197" i="13"/>
  <c r="H1197" i="13" s="1"/>
  <c r="D674" i="13"/>
  <c r="G673" i="13"/>
  <c r="H940" i="13"/>
  <c r="H941" i="13" s="1"/>
  <c r="I940" i="13"/>
  <c r="F334" i="13"/>
  <c r="G334" i="13" s="1"/>
  <c r="E1198" i="13"/>
  <c r="E1199" i="13" s="1"/>
  <c r="E1283" i="13"/>
  <c r="F1283" i="13" s="1"/>
  <c r="H854" i="13"/>
  <c r="H855" i="13" s="1"/>
  <c r="I854" i="13"/>
  <c r="J1457" i="13"/>
  <c r="I1715" i="13"/>
  <c r="H1628" i="13"/>
  <c r="H1629" i="13" s="1"/>
  <c r="I1628" i="13"/>
  <c r="G1282" i="13"/>
  <c r="J672" i="13"/>
  <c r="J1281" i="13"/>
  <c r="J333" i="13"/>
  <c r="J1714" i="13" l="1"/>
  <c r="J1715" i="13" s="1"/>
  <c r="I1197" i="13"/>
  <c r="J1197" i="13" s="1"/>
  <c r="H248" i="13"/>
  <c r="H249" i="13" s="1"/>
  <c r="D1284" i="13"/>
  <c r="G1283" i="13"/>
  <c r="H334" i="13"/>
  <c r="H335" i="13" s="1"/>
  <c r="I334" i="13"/>
  <c r="I249" i="13"/>
  <c r="H1282" i="13"/>
  <c r="I1282" i="13"/>
  <c r="J1628" i="13"/>
  <c r="J1629" i="13" s="1"/>
  <c r="I1629" i="13"/>
  <c r="J940" i="13"/>
  <c r="J941" i="13" s="1"/>
  <c r="I941" i="13"/>
  <c r="H673" i="13"/>
  <c r="I673" i="13"/>
  <c r="J854" i="13"/>
  <c r="J855" i="13" s="1"/>
  <c r="I855" i="13"/>
  <c r="F1198" i="13"/>
  <c r="G1198" i="13" s="1"/>
  <c r="E674" i="13"/>
  <c r="F674" i="13" s="1"/>
  <c r="D675" i="13" s="1"/>
  <c r="J248" i="13" l="1"/>
  <c r="J249" i="13" s="1"/>
  <c r="G674" i="13"/>
  <c r="H674" i="13" s="1"/>
  <c r="J673" i="13"/>
  <c r="J1282" i="13"/>
  <c r="H1283" i="13"/>
  <c r="I1283" i="13"/>
  <c r="J334" i="13"/>
  <c r="J335" i="13" s="1"/>
  <c r="I335" i="13"/>
  <c r="E675" i="13"/>
  <c r="F675" i="13" s="1"/>
  <c r="D676" i="13" s="1"/>
  <c r="H1198" i="13"/>
  <c r="H1199" i="13" s="1"/>
  <c r="I1198" i="13"/>
  <c r="E1284" i="13"/>
  <c r="E1285" i="13" s="1"/>
  <c r="I674" i="13" l="1"/>
  <c r="J674" i="13" s="1"/>
  <c r="J1283" i="13"/>
  <c r="E676" i="13"/>
  <c r="F676" i="13" s="1"/>
  <c r="D677" i="13" s="1"/>
  <c r="J1198" i="13"/>
  <c r="J1199" i="13" s="1"/>
  <c r="I1199" i="13"/>
  <c r="F1284" i="13"/>
  <c r="G1284" i="13" s="1"/>
  <c r="G675" i="13"/>
  <c r="G676" i="13" l="1"/>
  <c r="H676" i="13" s="1"/>
  <c r="H675" i="13"/>
  <c r="I675" i="13"/>
  <c r="H1284" i="13"/>
  <c r="H1285" i="13" s="1"/>
  <c r="I1284" i="13"/>
  <c r="E677" i="13"/>
  <c r="F677" i="13" s="1"/>
  <c r="I676" i="13" l="1"/>
  <c r="J676" i="13" s="1"/>
  <c r="J675" i="13"/>
  <c r="D678" i="13"/>
  <c r="G677" i="13"/>
  <c r="J1284" i="13"/>
  <c r="J1285" i="13" s="1"/>
  <c r="I1285" i="13"/>
  <c r="H677" i="13" l="1"/>
  <c r="I677" i="13"/>
  <c r="E678" i="13"/>
  <c r="E679" i="13" s="1"/>
  <c r="F678" i="13" l="1"/>
  <c r="G678" i="13" s="1"/>
  <c r="H678" i="13" s="1"/>
  <c r="H679" i="13" s="1"/>
  <c r="J677" i="13"/>
  <c r="I678" i="13" l="1"/>
  <c r="J678" i="13" s="1"/>
  <c r="J679" i="13" s="1"/>
  <c r="I679" i="13" l="1"/>
  <c r="M2004" i="13"/>
  <c r="P2004" i="13" s="1"/>
  <c r="F2001" i="13"/>
  <c r="G2001" i="13" s="1"/>
  <c r="H2001" i="13" l="1"/>
  <c r="I2001" i="13"/>
  <c r="D2002" i="13"/>
  <c r="E2002" i="13" s="1"/>
  <c r="M2001" i="13" l="1"/>
  <c r="J2001" i="13"/>
  <c r="O2001" i="13"/>
  <c r="P2001" i="13" l="1"/>
  <c r="F2002" i="13"/>
  <c r="D2003" i="13" l="1"/>
  <c r="E2003" i="13" s="1"/>
  <c r="G2002" i="13"/>
  <c r="I2002" i="13" l="1"/>
  <c r="N1989" i="13" s="1"/>
  <c r="H2002" i="13"/>
  <c r="M1989" i="13" s="1"/>
  <c r="N22" i="13" l="1"/>
  <c r="M1990" i="13"/>
  <c r="N1990" i="13"/>
  <c r="O22" i="13"/>
  <c r="O1989" i="13"/>
  <c r="O1990" i="13" s="1"/>
  <c r="F2003" i="13"/>
  <c r="J2002" i="13"/>
  <c r="O23" i="13" l="1"/>
  <c r="P22" i="13"/>
  <c r="P23" i="13" s="1"/>
  <c r="L39" i="2" s="1"/>
  <c r="N23" i="13"/>
  <c r="G27" i="2"/>
  <c r="L27" i="2" s="1"/>
  <c r="D2004" i="13"/>
  <c r="E2004" i="13" s="1"/>
  <c r="G2003" i="13"/>
  <c r="I2003" i="13" l="1"/>
  <c r="H2003" i="13"/>
  <c r="F2004" i="13" l="1"/>
  <c r="J2003" i="13"/>
  <c r="D2005" i="13" l="1"/>
  <c r="E2005" i="13" s="1"/>
  <c r="G2004" i="13"/>
  <c r="I2004" i="13" l="1"/>
  <c r="H2004" i="13"/>
  <c r="F2005" i="13"/>
  <c r="D2006" i="13" l="1"/>
  <c r="E2006" i="13" s="1"/>
  <c r="G2005" i="13"/>
  <c r="J2004" i="13"/>
  <c r="H2005" i="13" l="1"/>
  <c r="I2005" i="13"/>
  <c r="F2006" i="13"/>
  <c r="D2007" i="13" l="1"/>
  <c r="E2007" i="13" s="1"/>
  <c r="G2006" i="13"/>
  <c r="J2005" i="13"/>
  <c r="H2006" i="13" l="1"/>
  <c r="I2006" i="13"/>
  <c r="F2007" i="13"/>
  <c r="J2006" i="13" l="1"/>
  <c r="D2008" i="13"/>
  <c r="E2008" i="13" s="1"/>
  <c r="G2007" i="13"/>
  <c r="I2007" i="13" l="1"/>
  <c r="H2007" i="13"/>
  <c r="F2008" i="13"/>
  <c r="D2009" i="13" l="1"/>
  <c r="E2009" i="13" s="1"/>
  <c r="G2008" i="13"/>
  <c r="J2007" i="13"/>
  <c r="H2008" i="13" l="1"/>
  <c r="I2008" i="13"/>
  <c r="F2009" i="13"/>
  <c r="J2008" i="13" l="1"/>
  <c r="D2010" i="13"/>
  <c r="E2010" i="13" s="1"/>
  <c r="G2009" i="13"/>
  <c r="I2009" i="13" l="1"/>
  <c r="H2009" i="13"/>
  <c r="F2010" i="13"/>
  <c r="D2011" i="13" s="1"/>
  <c r="E2011" i="13" s="1"/>
  <c r="F2011" i="13" l="1"/>
  <c r="G2010" i="13"/>
  <c r="J2009" i="13"/>
  <c r="D2012" i="13" l="1"/>
  <c r="E2012" i="13" s="1"/>
  <c r="G2011" i="13"/>
  <c r="H2010" i="13"/>
  <c r="I2010" i="13"/>
  <c r="J2010" i="13" l="1"/>
  <c r="H2011" i="13"/>
  <c r="I2011" i="13"/>
  <c r="F2012" i="13"/>
  <c r="D2013" i="13" s="1"/>
  <c r="E2013" i="13" s="1"/>
  <c r="G2012" i="13" l="1"/>
  <c r="H2012" i="13" s="1"/>
  <c r="J2011" i="13"/>
  <c r="F2013" i="13"/>
  <c r="I2012" i="13" l="1"/>
  <c r="J2012" i="13" s="1"/>
  <c r="D2014" i="13"/>
  <c r="E2014" i="13" s="1"/>
  <c r="G2013" i="13"/>
  <c r="H2013" i="13" l="1"/>
  <c r="I2013" i="13"/>
  <c r="F2014" i="13"/>
  <c r="J2013" i="13" l="1"/>
  <c r="D2015" i="13"/>
  <c r="E2015" i="13" s="1"/>
  <c r="G2014" i="13"/>
  <c r="H2014" i="13" l="1"/>
  <c r="I2014" i="13"/>
  <c r="F2015" i="13"/>
  <c r="J2014" i="13" l="1"/>
  <c r="D2016" i="13"/>
  <c r="E2016" i="13" s="1"/>
  <c r="G2015" i="13"/>
  <c r="H2015" i="13" l="1"/>
  <c r="I2015" i="13"/>
  <c r="F2016" i="13"/>
  <c r="J2015" i="13" l="1"/>
  <c r="D2017" i="13"/>
  <c r="E2017" i="13" s="1"/>
  <c r="G2016" i="13"/>
  <c r="H2016" i="13" l="1"/>
  <c r="I2016" i="13"/>
  <c r="F2017" i="13"/>
  <c r="J2016" i="13" l="1"/>
  <c r="D2018" i="13"/>
  <c r="E2018" i="13" s="1"/>
  <c r="G2017" i="13"/>
  <c r="I2017" i="13" l="1"/>
  <c r="H2017" i="13"/>
  <c r="F2018" i="13"/>
  <c r="D2019" i="13" l="1"/>
  <c r="E2019" i="13" s="1"/>
  <c r="G2018" i="13"/>
  <c r="J2017" i="13"/>
  <c r="H2018" i="13" l="1"/>
  <c r="I2018" i="13"/>
  <c r="F2019" i="13"/>
  <c r="J2018" i="13" l="1"/>
  <c r="D2020" i="13"/>
  <c r="E2020" i="13" s="1"/>
  <c r="G2019" i="13"/>
  <c r="I2019" i="13" l="1"/>
  <c r="H2019" i="13"/>
  <c r="F2020" i="13"/>
  <c r="D2021" i="13" l="1"/>
  <c r="E2021" i="13" s="1"/>
  <c r="G2020" i="13"/>
  <c r="J2019" i="13"/>
  <c r="I2020" i="13" l="1"/>
  <c r="H2020" i="13"/>
  <c r="F2021" i="13"/>
  <c r="D2022" i="13" l="1"/>
  <c r="E2022" i="13" s="1"/>
  <c r="G2021" i="13"/>
  <c r="J2020" i="13"/>
  <c r="I2021" i="13" l="1"/>
  <c r="H2021" i="13"/>
  <c r="F2022" i="13"/>
  <c r="D2023" i="13" l="1"/>
  <c r="E2023" i="13" s="1"/>
  <c r="G2022" i="13"/>
  <c r="J2021" i="13"/>
  <c r="H2022" i="13" l="1"/>
  <c r="I2022" i="13"/>
  <c r="F2023" i="13"/>
  <c r="J2022" i="13" l="1"/>
  <c r="D2024" i="13"/>
  <c r="E2024" i="13" s="1"/>
  <c r="G2023" i="13"/>
  <c r="H2023" i="13" l="1"/>
  <c r="I2023" i="13"/>
  <c r="F2024" i="13"/>
  <c r="J2023" i="13" l="1"/>
  <c r="D2025" i="13"/>
  <c r="E2025" i="13" s="1"/>
  <c r="G2024" i="13"/>
  <c r="H2024" i="13" l="1"/>
  <c r="I2024" i="13"/>
  <c r="F2025" i="13"/>
  <c r="J2024" i="13" l="1"/>
  <c r="D2026" i="13"/>
  <c r="E2026" i="13" s="1"/>
  <c r="G2025" i="13"/>
  <c r="H2025" i="13" l="1"/>
  <c r="I2025" i="13"/>
  <c r="F2026" i="13"/>
  <c r="J2025" i="13" l="1"/>
  <c r="D2027" i="13"/>
  <c r="E2027" i="13" s="1"/>
  <c r="G2026" i="13"/>
  <c r="I2026" i="13" l="1"/>
  <c r="H2026" i="13"/>
  <c r="F2027" i="13"/>
  <c r="D2028" i="13" l="1"/>
  <c r="E2028" i="13" s="1"/>
  <c r="G2027" i="13"/>
  <c r="J2026" i="13"/>
  <c r="H2027" i="13" l="1"/>
  <c r="I2027" i="13"/>
  <c r="F2028" i="13"/>
  <c r="J2027" i="13" l="1"/>
  <c r="D2029" i="13"/>
  <c r="E2029" i="13" s="1"/>
  <c r="G2028" i="13"/>
  <c r="I2028" i="13" l="1"/>
  <c r="H2028" i="13"/>
  <c r="F2029" i="13"/>
  <c r="D2030" i="13" l="1"/>
  <c r="E2030" i="13" s="1"/>
  <c r="G2029" i="13"/>
  <c r="J2028" i="13"/>
  <c r="H2029" i="13" l="1"/>
  <c r="I2029" i="13"/>
  <c r="F2030" i="13"/>
  <c r="D2031" i="13" l="1"/>
  <c r="E2031" i="13" s="1"/>
  <c r="G2030" i="13"/>
  <c r="J2029" i="13"/>
  <c r="H2030" i="13" l="1"/>
  <c r="I2030" i="13"/>
  <c r="F2031" i="13"/>
  <c r="J2030" i="13" l="1"/>
  <c r="D2032" i="13"/>
  <c r="E2032" i="13" s="1"/>
  <c r="G2031" i="13"/>
  <c r="H2031" i="13" l="1"/>
  <c r="I2031" i="13"/>
  <c r="F2032" i="13"/>
  <c r="J2031" i="13" l="1"/>
  <c r="D2033" i="13"/>
  <c r="E2033" i="13" s="1"/>
  <c r="G2032" i="13"/>
  <c r="H2032" i="13" l="1"/>
  <c r="I2032" i="13"/>
  <c r="F2033" i="13"/>
  <c r="J2032" i="13" l="1"/>
  <c r="D2034" i="13"/>
  <c r="E2034" i="13" s="1"/>
  <c r="G2033" i="13"/>
  <c r="I2033" i="13" l="1"/>
  <c r="H2033" i="13"/>
  <c r="F2034" i="13"/>
  <c r="D2035" i="13" l="1"/>
  <c r="E2035" i="13" s="1"/>
  <c r="G2034" i="13"/>
  <c r="J2033" i="13"/>
  <c r="I2034" i="13" l="1"/>
  <c r="H2034" i="13"/>
  <c r="F2035" i="13"/>
  <c r="D2036" i="13" l="1"/>
  <c r="E2036" i="13" s="1"/>
  <c r="G2035" i="13"/>
  <c r="J2034" i="13"/>
  <c r="H2035" i="13" l="1"/>
  <c r="I2035" i="13"/>
  <c r="F2036" i="13"/>
  <c r="J2035" i="13" l="1"/>
  <c r="D2037" i="13"/>
  <c r="E2037" i="13" s="1"/>
  <c r="G2036" i="13"/>
  <c r="I2036" i="13" l="1"/>
  <c r="H2036" i="13"/>
  <c r="F2037" i="13"/>
  <c r="D2038" i="13" l="1"/>
  <c r="E2038" i="13" s="1"/>
  <c r="G2037" i="13"/>
  <c r="J2036" i="13"/>
  <c r="H2037" i="13" l="1"/>
  <c r="I2037" i="13"/>
  <c r="F2038" i="13"/>
  <c r="J2037" i="13" l="1"/>
  <c r="D2039" i="13"/>
  <c r="E2039" i="13" s="1"/>
  <c r="G2038" i="13"/>
  <c r="I2038" i="13" l="1"/>
  <c r="H2038" i="13"/>
  <c r="F2039" i="13"/>
  <c r="D2040" i="13" l="1"/>
  <c r="E2040" i="13" s="1"/>
  <c r="G2039" i="13"/>
  <c r="J2038" i="13"/>
  <c r="F2040" i="13" l="1"/>
  <c r="D2041" i="13" s="1"/>
  <c r="E2041" i="13" s="1"/>
  <c r="H2039" i="13"/>
  <c r="I2039" i="13"/>
  <c r="F2041" i="13" l="1"/>
  <c r="G2040" i="13"/>
  <c r="J2039" i="13"/>
  <c r="D2042" i="13" l="1"/>
  <c r="E2042" i="13" s="1"/>
  <c r="G2041" i="13"/>
  <c r="H2040" i="13"/>
  <c r="I2040" i="13"/>
  <c r="J2040" i="13" l="1"/>
  <c r="H2041" i="13"/>
  <c r="I2041" i="13"/>
  <c r="F2042" i="13"/>
  <c r="J2041" i="13" l="1"/>
  <c r="D2043" i="13"/>
  <c r="E2043" i="13" s="1"/>
  <c r="G2042" i="13"/>
  <c r="H2042" i="13" l="1"/>
  <c r="I2042" i="13"/>
  <c r="F2043" i="13"/>
  <c r="J2042" i="13" l="1"/>
  <c r="D2044" i="13"/>
  <c r="E2044" i="13" s="1"/>
  <c r="G2043" i="13"/>
  <c r="H2043" i="13" l="1"/>
  <c r="I2043" i="13"/>
  <c r="F2044" i="13"/>
  <c r="J2043" i="13" l="1"/>
  <c r="D2045" i="13"/>
  <c r="E2045" i="13" s="1"/>
  <c r="G2044" i="13"/>
  <c r="H2044" i="13" l="1"/>
  <c r="I2044" i="13"/>
  <c r="F2045" i="13"/>
  <c r="J2044" i="13" l="1"/>
  <c r="D2046" i="13"/>
  <c r="E2046" i="13" s="1"/>
  <c r="G2045" i="13"/>
  <c r="H2045" i="13" l="1"/>
  <c r="I2045" i="13"/>
  <c r="F2046" i="13"/>
  <c r="J2045" i="13" l="1"/>
  <c r="D2047" i="13"/>
  <c r="E2047" i="13" s="1"/>
  <c r="G2046" i="13"/>
  <c r="H2046" i="13" l="1"/>
  <c r="I2046" i="13"/>
  <c r="F2047" i="13"/>
  <c r="J2046" i="13" l="1"/>
  <c r="D2048" i="13"/>
  <c r="E2048" i="13" s="1"/>
  <c r="G2047" i="13"/>
  <c r="I2047" i="13" l="1"/>
  <c r="H2047" i="13"/>
  <c r="F2048" i="13"/>
  <c r="D2049" i="13" l="1"/>
  <c r="E2049" i="13" s="1"/>
  <c r="G2048" i="13"/>
  <c r="J2047" i="13"/>
  <c r="H2048" i="13" l="1"/>
  <c r="I2048" i="13"/>
  <c r="F2049" i="13"/>
  <c r="D2050" i="13" s="1"/>
  <c r="E2050" i="13" s="1"/>
  <c r="J2048" i="13" l="1"/>
  <c r="F2050" i="13"/>
  <c r="D2051" i="13" s="1"/>
  <c r="E2051" i="13" s="1"/>
  <c r="G2049" i="13"/>
  <c r="H2049" i="13" l="1"/>
  <c r="I2049" i="13"/>
  <c r="F2051" i="13"/>
  <c r="G2050" i="13"/>
  <c r="J2049" i="13" l="1"/>
  <c r="D2052" i="13"/>
  <c r="E2052" i="13" s="1"/>
  <c r="G2051" i="13"/>
  <c r="H2050" i="13"/>
  <c r="I2050" i="13"/>
  <c r="J2050" i="13" l="1"/>
  <c r="H2051" i="13"/>
  <c r="I2051" i="13"/>
  <c r="F2052" i="13"/>
  <c r="J2051" i="13" l="1"/>
  <c r="D2053" i="13"/>
  <c r="E2053" i="13" s="1"/>
  <c r="G2052" i="13"/>
  <c r="H2052" i="13" l="1"/>
  <c r="I2052" i="13"/>
  <c r="F2053" i="13"/>
  <c r="D2054" i="13" s="1"/>
  <c r="E2054" i="13" s="1"/>
  <c r="J2052" i="13" l="1"/>
  <c r="G2053" i="13"/>
  <c r="F2054" i="13"/>
  <c r="D2055" i="13" s="1"/>
  <c r="E2055" i="13" s="1"/>
  <c r="G2054" i="13" l="1"/>
  <c r="F2055" i="13"/>
  <c r="I2053" i="13"/>
  <c r="H2053" i="13"/>
  <c r="D2056" i="13" l="1"/>
  <c r="E2056" i="13" s="1"/>
  <c r="G2055" i="13"/>
  <c r="J2053" i="13"/>
  <c r="I2054" i="13"/>
  <c r="H2054" i="13"/>
  <c r="J2054" i="13" l="1"/>
  <c r="H2055" i="13"/>
  <c r="I2055" i="13"/>
  <c r="F2056" i="13"/>
  <c r="D2057" i="13" s="1"/>
  <c r="E2057" i="13" s="1"/>
  <c r="J2055" i="13" l="1"/>
  <c r="F2057" i="13"/>
  <c r="G2056" i="13"/>
  <c r="D2058" i="13" l="1"/>
  <c r="E2058" i="13" s="1"/>
  <c r="G2057" i="13"/>
  <c r="H2056" i="13"/>
  <c r="I2056" i="13"/>
  <c r="J2056" i="13" l="1"/>
  <c r="I2057" i="13"/>
  <c r="H2057" i="13"/>
  <c r="F2058" i="13"/>
  <c r="D2059" i="13" l="1"/>
  <c r="E2059" i="13" s="1"/>
  <c r="G2058" i="13"/>
  <c r="J2057" i="13"/>
  <c r="H2058" i="13" l="1"/>
  <c r="I2058" i="13"/>
  <c r="E2060" i="13"/>
  <c r="J2058" i="13" l="1"/>
  <c r="F2059" i="13"/>
  <c r="G2059" i="13" s="1"/>
  <c r="H2059" i="13" l="1"/>
  <c r="H2060" i="13" s="1"/>
  <c r="I2059" i="13"/>
  <c r="J2059" i="13" l="1"/>
  <c r="J2060" i="13" s="1"/>
  <c r="I2060" i="13"/>
  <c r="H28" i="48" l="1"/>
  <c r="G28" i="48" l="1"/>
  <c r="I28" i="48"/>
  <c r="G23" i="48" l="1"/>
  <c r="H23" i="48"/>
  <c r="I23" i="48" s="1"/>
  <c r="G26" i="48" l="1"/>
  <c r="H26" i="48"/>
  <c r="I26" i="48" s="1"/>
</calcChain>
</file>

<file path=xl/sharedStrings.xml><?xml version="1.0" encoding="utf-8"?>
<sst xmlns="http://schemas.openxmlformats.org/spreadsheetml/2006/main" count="4872" uniqueCount="1390">
  <si>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</si>
  <si>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</si>
  <si>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</si>
  <si>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</si>
  <si>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</si>
  <si>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</si>
  <si>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</si>
  <si>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</si>
  <si>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</si>
  <si>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</si>
  <si>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</si>
  <si>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</si>
  <si>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</si>
  <si>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</si>
  <si>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</si>
  <si>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</si>
  <si>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</si>
  <si>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</si>
  <si>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</si>
  <si>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</si>
  <si>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</si>
  <si>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</si>
  <si>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</si>
  <si>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</si>
  <si>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</si>
  <si>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</si>
  <si>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</si>
  <si>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</si>
  <si>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</si>
  <si>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</si>
  <si>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</si>
  <si>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</si>
  <si>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</si>
  <si>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</si>
  <si>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</si>
  <si>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</si>
  <si>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</si>
  <si>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</si>
  <si>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</si>
  <si>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</si>
  <si>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</si>
  <si>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</si>
  <si>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</si>
  <si>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</si>
  <si>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</si>
  <si>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</si>
  <si>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</si>
  <si>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</si>
  <si>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</si>
  <si>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</si>
  <si>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</si>
  <si>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</si>
  <si>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</si>
  <si>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</si>
  <si>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</si>
  <si>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</si>
  <si>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</si>
  <si>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</si>
  <si>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</si>
  <si>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</si>
  <si>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</si>
  <si>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</si>
  <si>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</si>
  <si>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</si>
  <si>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</si>
  <si>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</si>
  <si>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</si>
  <si>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</si>
  <si>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</si>
  <si>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</si>
  <si>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</si>
  <si>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</si>
  <si>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</si>
  <si>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</si>
  <si>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</si>
  <si>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</si>
  <si>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</si>
  <si>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</si>
  <si>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</si>
  <si>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</si>
  <si>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</si>
  <si>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</si>
  <si>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</si>
  <si>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</si>
  <si>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</si>
  <si>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</si>
  <si>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</si>
  <si>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</si>
  <si>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</si>
  <si>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</si>
  <si>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</si>
  <si>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</si>
  <si>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</si>
  <si>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</si>
  <si>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</si>
  <si>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</si>
  <si>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</si>
  <si>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</si>
  <si>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</si>
  <si>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</si>
  <si>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</si>
  <si>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</si>
  <si>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</si>
  <si>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</si>
  <si>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</si>
  <si>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</si>
  <si>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</si>
  <si>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</si>
  <si>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</si>
  <si>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</si>
  <si>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</si>
  <si>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</si>
  <si>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</si>
  <si>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</si>
  <si>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</si>
  <si>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</si>
  <si>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</si>
  <si>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</si>
  <si>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</si>
  <si>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</si>
  <si>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</si>
  <si>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</si>
  <si>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</si>
  <si>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</si>
  <si>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</si>
  <si>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</si>
  <si>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</si>
  <si>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</si>
  <si>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</si>
  <si>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</si>
  <si>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</si>
  <si>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</si>
  <si>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</si>
  <si>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</si>
  <si>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</si>
  <si>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</si>
  <si>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</si>
  <si>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</si>
  <si>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</si>
  <si>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</si>
  <si>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</si>
  <si>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</si>
  <si>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</si>
  <si>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</si>
  <si>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</si>
  <si>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</si>
  <si>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</si>
  <si>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</si>
  <si>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</si>
  <si>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</si>
  <si>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</si>
  <si>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</si>
  <si>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</si>
  <si>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</si>
  <si>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</si>
  <si>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</si>
  <si>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</si>
  <si>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</si>
  <si>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</si>
  <si>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</si>
  <si>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</si>
  <si>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</si>
  <si>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</si>
  <si>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</si>
  <si>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</si>
  <si>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</si>
  <si>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</si>
  <si>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</si>
  <si>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</si>
  <si>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</si>
  <si>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</si>
  <si>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</si>
  <si>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</si>
  <si>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</si>
  <si>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</si>
  <si>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</si>
  <si>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</si>
  <si>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</si>
  <si>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</si>
  <si>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</si>
  <si>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</si>
  <si>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</si>
  <si>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</si>
  <si>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</si>
  <si>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</si>
  <si>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</si>
  <si>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</si>
  <si>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</si>
  <si>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</si>
  <si>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</si>
  <si>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</si>
  <si>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</si>
  <si>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</si>
  <si>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</si>
  <si>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</si>
  <si>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</si>
  <si>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</si>
  <si>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</si>
  <si>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</si>
  <si>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</si>
  <si>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</si>
  <si>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</si>
  <si>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</si>
  <si>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</si>
  <si>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</si>
  <si>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</si>
  <si>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</si>
  <si>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</si>
  <si>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</si>
  <si>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</si>
  <si>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</si>
  <si>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</si>
  <si>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</si>
  <si>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</si>
  <si>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</si>
  <si>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</si>
  <si>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</si>
  <si>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</si>
  <si>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</si>
  <si>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</si>
  <si>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</si>
  <si>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</si>
  <si>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</si>
  <si>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</si>
  <si>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</si>
  <si>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</si>
  <si>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</si>
  <si>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</si>
  <si>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</si>
  <si>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</si>
  <si>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</si>
  <si>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</si>
  <si>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</si>
  <si>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</si>
  <si>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</si>
  <si>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</si>
  <si>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</si>
  <si>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</si>
  <si>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</si>
  <si>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</si>
  <si>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</si>
  <si>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</si>
  <si>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</si>
  <si>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</si>
  <si>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</si>
  <si>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</si>
  <si>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</si>
  <si>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</si>
  <si>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</si>
  <si>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</si>
  <si>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</si>
  <si>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</si>
  <si>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</si>
  <si>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</si>
  <si>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</si>
  <si>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</si>
  <si>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</si>
  <si>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</si>
  <si>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</si>
  <si>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</si>
  <si>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</si>
  <si>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</si>
  <si>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</si>
  <si>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</si>
  <si>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</si>
  <si>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</si>
  <si>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</si>
  <si>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</si>
  <si>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</si>
  <si>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</si>
  <si>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</si>
  <si>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</si>
  <si>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</si>
  <si>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</si>
  <si>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</si>
  <si>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</si>
  <si>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</si>
  <si>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</si>
  <si>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</si>
  <si>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</si>
  <si>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</si>
  <si>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</si>
  <si>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</si>
  <si>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</si>
  <si>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</si>
  <si>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</si>
  <si>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</si>
  <si>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</si>
  <si>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</si>
  <si>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</si>
  <si>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</si>
  <si>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</si>
  <si>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</si>
  <si>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</si>
  <si>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</si>
  <si>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</si>
  <si>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</si>
  <si>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</si>
  <si>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</si>
  <si>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</si>
  <si>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</si>
  <si>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</si>
  <si>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</si>
  <si>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</si>
  <si>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</si>
  <si>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</si>
  <si>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</si>
  <si>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</si>
  <si>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</si>
  <si>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</si>
  <si>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</si>
  <si>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</si>
  <si>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</si>
  <si>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</si>
  <si>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</si>
  <si>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</si>
  <si>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</si>
  <si>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</si>
  <si>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</si>
  <si>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</si>
  <si>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</si>
  <si>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</si>
  <si>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</si>
  <si>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</si>
  <si>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</si>
  <si>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</si>
  <si>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</si>
  <si>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</si>
  <si>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</si>
  <si>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</si>
  <si>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</si>
  <si>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</si>
  <si>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</si>
  <si>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</si>
  <si>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</si>
  <si>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</si>
  <si>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</si>
  <si>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</si>
  <si>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</si>
  <si>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</si>
  <si>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</si>
  <si>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</si>
  <si>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</si>
  <si>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</si>
  <si>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</si>
  <si>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</si>
  <si>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</si>
  <si>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</si>
  <si>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</si>
  <si>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</si>
  <si>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</si>
  <si>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</si>
  <si>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</si>
  <si>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</si>
  <si>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</si>
  <si>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</si>
  <si>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</si>
  <si>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</si>
  <si>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</si>
  <si>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</si>
  <si>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</si>
  <si>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</si>
  <si>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</si>
  <si>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</si>
  <si>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</si>
  <si>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</si>
  <si>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</si>
  <si>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</si>
  <si>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</si>
  <si>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</si>
  <si>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</si>
  <si>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</si>
  <si>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</si>
  <si>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</si>
  <si>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</si>
  <si>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</si>
  <si>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</si>
  <si>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</si>
  <si>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</si>
  <si>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</si>
  <si>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</si>
  <si>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</si>
  <si>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</si>
  <si>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</si>
  <si>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</si>
  <si>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</si>
  <si>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</si>
  <si>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</si>
  <si>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</si>
  <si>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</si>
  <si>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</si>
  <si>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</si>
  <si>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</si>
  <si>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</si>
  <si>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</si>
  <si>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</si>
  <si>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</si>
  <si>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</si>
  <si>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</si>
  <si>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</si>
  <si>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</si>
  <si>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</si>
  <si>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</si>
  <si>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</si>
  <si>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</si>
  <si>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</si>
  <si>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</si>
  <si>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</si>
  <si>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</si>
  <si>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</si>
  <si>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</si>
  <si>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</si>
  <si>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</si>
  <si>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</si>
  <si>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</si>
  <si>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</si>
  <si>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</si>
  <si>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</si>
  <si>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</si>
  <si>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</si>
  <si>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</si>
  <si>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</si>
  <si>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</si>
  <si>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</si>
  <si>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</si>
  <si>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</si>
  <si>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</si>
  <si>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</si>
  <si>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</si>
  <si>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</si>
  <si>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</si>
  <si>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</si>
  <si>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</si>
  <si>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</si>
  <si>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</si>
  <si>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</si>
  <si>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</si>
  <si>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</si>
  <si>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</si>
  <si>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</si>
  <si>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</si>
  <si>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</si>
  <si>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</si>
  <si>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</si>
  <si>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</si>
  <si>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</si>
  <si>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</si>
  <si>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</si>
  <si>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</si>
  <si>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</si>
  <si>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</si>
  <si>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</si>
  <si>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</si>
  <si>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</si>
  <si>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</si>
  <si>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</si>
  <si>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</si>
  <si>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</si>
  <si>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</si>
  <si>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</si>
  <si>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</si>
  <si>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</si>
  <si>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</si>
  <si>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</si>
  <si>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</si>
  <si>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</si>
  <si>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</si>
  <si>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</si>
  <si>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</si>
  <si>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</si>
  <si>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</si>
  <si>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</si>
  <si>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</si>
  <si>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</si>
  <si>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</si>
  <si>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</si>
  <si>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</si>
  <si>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</si>
  <si>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</si>
  <si>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</si>
  <si>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</si>
  <si>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</si>
  <si>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</si>
  <si>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</si>
  <si>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</si>
  <si>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</si>
  <si>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</si>
  <si>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</si>
  <si>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</si>
  <si>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</si>
  <si>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</si>
  <si>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</si>
  <si>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</si>
  <si>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</si>
  <si>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</si>
  <si>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</si>
  <si>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</si>
  <si>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</si>
  <si>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</si>
  <si>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</si>
  <si>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</si>
  <si>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</si>
  <si>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</si>
  <si>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</si>
  <si>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</si>
  <si>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</si>
  <si>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</si>
  <si>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</si>
  <si>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</si>
  <si>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</si>
  <si>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</si>
  <si>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</si>
  <si>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</si>
  <si>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</si>
  <si>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</si>
  <si>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</si>
  <si>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</si>
  <si>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</si>
  <si>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</si>
  <si>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</si>
  <si>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</si>
  <si>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</si>
  <si>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</si>
  <si>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</si>
  <si>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</si>
  <si>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</si>
  <si>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</si>
  <si>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</si>
  <si>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</si>
  <si>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</si>
  <si>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</si>
  <si>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</si>
  <si>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</si>
  <si>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</si>
  <si>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</si>
  <si>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</si>
  <si>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</si>
  <si>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</si>
  <si>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</si>
  <si>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</si>
  <si>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</si>
  <si>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</si>
  <si>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</si>
  <si>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</si>
  <si>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</si>
  <si>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</si>
  <si>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</si>
  <si>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</si>
  <si>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</si>
  <si>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</si>
  <si>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</si>
  <si>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</si>
  <si>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</si>
  <si>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</si>
  <si>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</si>
  <si>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</si>
  <si>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</si>
  <si>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</si>
  <si>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</si>
  <si>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</si>
  <si>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</si>
  <si>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</si>
  <si>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</si>
  <si>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</si>
  <si>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</si>
  <si>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</si>
  <si>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</si>
  <si>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</si>
  <si>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</si>
  <si>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</si>
  <si>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</si>
  <si>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</si>
  <si>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</si>
  <si>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</si>
  <si>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</si>
  <si>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</si>
  <si>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</si>
  <si>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</si>
  <si>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</si>
  <si>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</si>
  <si>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</si>
  <si>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</si>
  <si>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</si>
  <si>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</si>
  <si>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</si>
  <si>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</si>
  <si>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</si>
  <si>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</si>
  <si>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</si>
  <si>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</si>
  <si>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</si>
  <si>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</si>
  <si>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</si>
  <si>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</si>
  <si>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</si>
  <si>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</si>
  <si>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</si>
  <si>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</si>
  <si>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</si>
  <si>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</si>
  <si>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</si>
  <si>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</si>
  <si>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</si>
  <si>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</si>
  <si>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</si>
  <si>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</si>
  <si>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</si>
  <si>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</si>
  <si>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</si>
  <si>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</si>
  <si>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</si>
  <si>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</si>
  <si>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</si>
  <si>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</si>
  <si>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</si>
  <si>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</si>
  <si>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</si>
  <si>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</si>
  <si>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</si>
  <si>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</si>
  <si>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</si>
  <si>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</si>
  <si>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</si>
  <si>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</si>
  <si>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</si>
  <si>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</si>
  <si>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</si>
  <si>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</si>
  <si>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</si>
  <si>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</si>
  <si>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</si>
  <si>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</si>
  <si>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</si>
  <si>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</si>
  <si>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</si>
  <si>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</si>
  <si>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</si>
  <si>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</si>
  <si>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</si>
  <si>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</si>
  <si>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</si>
  <si>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</si>
  <si>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</si>
  <si>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</si>
  <si>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</si>
  <si>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</si>
  <si>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</si>
  <si>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</si>
  <si>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</si>
  <si>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</si>
  <si>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</si>
  <si>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</si>
  <si>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</si>
  <si>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</si>
  <si>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</si>
  <si>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</si>
  <si>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</si>
  <si>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</si>
  <si>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</si>
  <si>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</si>
  <si>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</si>
  <si>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</si>
  <si>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</si>
  <si>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</si>
  <si>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</si>
  <si>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</si>
  <si>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</si>
  <si>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</si>
  <si>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</si>
  <si>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</si>
  <si>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</si>
  <si>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</si>
  <si>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</si>
  <si>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</si>
  <si>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</si>
  <si>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</si>
  <si>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</si>
  <si>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</si>
  <si>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</si>
  <si>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</si>
  <si>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</si>
  <si>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</si>
  <si>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</si>
  <si>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</si>
  <si>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</si>
  <si>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</si>
  <si>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</si>
  <si>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</si>
  <si>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</si>
  <si>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</si>
  <si>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</si>
  <si>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</si>
  <si>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</si>
  <si>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</si>
  <si>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</si>
  <si>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</si>
  <si>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</si>
  <si>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</si>
  <si>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</si>
  <si>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</si>
  <si>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</si>
  <si>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</si>
  <si>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</si>
  <si>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</si>
  <si>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</si>
  <si>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</si>
  <si>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</si>
  <si>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</si>
  <si>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</si>
  <si>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</si>
  <si>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</si>
  <si>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</si>
  <si>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</si>
  <si>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</si>
  <si>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</si>
  <si>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</si>
  <si>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</si>
  <si>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</si>
  <si>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</si>
  <si>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</si>
  <si>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</si>
  <si>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</si>
  <si>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</si>
  <si>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</si>
  <si>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</si>
  <si>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</si>
  <si>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</si>
  <si>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</si>
  <si>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</si>
  <si>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</si>
  <si>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</si>
  <si>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</si>
  <si>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</si>
  <si>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</si>
  <si>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</si>
  <si>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</si>
  <si>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</si>
  <si>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</si>
  <si>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</si>
  <si>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</si>
  <si>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</si>
  <si>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</si>
  <si>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</si>
  <si>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</si>
  <si>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</si>
  <si>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</si>
  <si>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</si>
  <si>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</si>
  <si>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</si>
  <si>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</si>
  <si>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</si>
  <si>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</si>
  <si>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</si>
  <si>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</si>
  <si>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</si>
  <si>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</si>
  <si>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</si>
  <si>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</si>
  <si>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</si>
  <si>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</si>
  <si>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</si>
  <si>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</si>
  <si>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</si>
  <si>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</si>
  <si>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</si>
  <si>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</si>
  <si>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</si>
  <si>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</si>
  <si>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</si>
  <si>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</si>
  <si>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</si>
  <si>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</si>
  <si>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</si>
  <si>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</si>
  <si>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</si>
  <si>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</si>
  <si>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</si>
  <si>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</si>
  <si>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</si>
  <si>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</si>
  <si>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</si>
  <si>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</si>
  <si>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</si>
  <si>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</si>
  <si>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</si>
  <si>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</si>
  <si>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</si>
  <si>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</si>
  <si>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</si>
  <si>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</si>
  <si>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</si>
  <si>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</si>
  <si>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</si>
  <si>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</si>
  <si>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</si>
  <si>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</si>
  <si>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</si>
  <si>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</si>
  <si>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</si>
  <si>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</si>
  <si>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</si>
  <si>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</si>
  <si>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</si>
  <si>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</si>
  <si>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</si>
  <si>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</si>
  <si>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</si>
  <si>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</si>
  <si>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</si>
  <si>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</si>
  <si>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</si>
  <si>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</si>
  <si>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</si>
  <si>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</si>
  <si>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</si>
  <si>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</si>
  <si>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</si>
  <si>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</si>
  <si>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</si>
  <si>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</si>
  <si>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</si>
  <si>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</si>
  <si>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</si>
  <si>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</si>
  <si>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</si>
  <si>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</si>
  <si>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</si>
  <si>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</si>
  <si>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</si>
  <si>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</si>
  <si>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</si>
  <si>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</si>
  <si>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</si>
  <si>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</si>
  <si>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</si>
  <si>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</si>
  <si>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</si>
  <si>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</si>
  <si>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</si>
  <si>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</si>
  <si>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</si>
  <si>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</si>
  <si>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</si>
  <si>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</si>
  <si>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</si>
  <si>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</si>
  <si>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</si>
  <si>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</si>
  <si>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</si>
  <si>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</si>
  <si>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</si>
  <si>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</si>
  <si>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</si>
  <si>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</si>
  <si>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</si>
  <si>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</si>
  <si>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</si>
  <si>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</si>
  <si>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</si>
  <si>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</si>
  <si>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</si>
  <si>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</si>
  <si>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</si>
  <si>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</si>
  <si>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</si>
  <si>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</si>
  <si>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</si>
  <si>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</si>
  <si>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</si>
  <si>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</si>
  <si>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</si>
  <si>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</si>
  <si>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</si>
  <si>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</si>
  <si>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</si>
  <si>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</si>
  <si>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</si>
  <si>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</si>
  <si>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</si>
  <si>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Prepaid Use Taxes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</si>
  <si>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</si>
  <si>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</si>
  <si>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</si>
  <si>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</si>
  <si>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</si>
  <si>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</si>
  <si>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</si>
  <si>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</si>
  <si>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</si>
  <si>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</si>
  <si>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</si>
  <si>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</si>
  <si>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</si>
  <si>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</si>
  <si>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Other Prepayments-Long Term</t>
  </si>
  <si>
    <t>PRW Without Med-D Benefits</t>
  </si>
  <si>
    <t>PRW for Med-D Benefits</t>
  </si>
  <si>
    <t>FAS158 Contra-PRW Exc Med-D</t>
  </si>
  <si>
    <t>Prepaid Pension Expense</t>
  </si>
  <si>
    <t>Prepaid Taxes-Distribution</t>
  </si>
  <si>
    <t>FAS 158 Liability</t>
  </si>
  <si>
    <t>Energy EIS Services</t>
  </si>
  <si>
    <t>Other - Distribution</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</si>
  <si>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</si>
  <si>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</si>
  <si>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</si>
  <si>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</si>
  <si>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</si>
  <si>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</si>
  <si>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</si>
  <si>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</si>
  <si>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</si>
  <si>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</si>
  <si>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</si>
  <si>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</si>
  <si>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</si>
  <si>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</si>
  <si>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</si>
  <si>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</si>
  <si>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</si>
  <si>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</si>
  <si>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</si>
  <si>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</si>
  <si>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</si>
  <si>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</si>
  <si>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</si>
  <si>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</si>
  <si>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</si>
  <si>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Real and Personal Property - Other</t>
  </si>
  <si>
    <t>SUN Cash Flow Hedge - 6.000%</t>
  </si>
  <si>
    <t>SUN Cash Flow Hedge - 5.375%</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</si>
  <si>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</si>
  <si>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</si>
  <si>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</si>
  <si>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</si>
  <si>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</si>
  <si>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</si>
  <si>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</si>
  <si>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</si>
  <si>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</si>
  <si>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</si>
  <si>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</si>
  <si>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</si>
  <si>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</si>
  <si>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</si>
  <si>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</si>
  <si>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</si>
  <si>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</si>
  <si>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</si>
  <si>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</si>
  <si>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</si>
  <si>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</si>
  <si>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</si>
  <si>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</si>
  <si>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</si>
  <si>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</si>
  <si>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</si>
  <si>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</si>
  <si>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</si>
  <si>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</si>
  <si>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</si>
  <si>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</si>
  <si>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 xml:space="preserve">  </t>
  </si>
  <si>
    <t>RTEP ID:  b1962 (Add four 765 kV breakers at Kammer)</t>
  </si>
  <si>
    <t>RTEP:  b1032.3 (Convert Ross-Circleville 69kV to 138 kV)</t>
  </si>
  <si>
    <t>RTEP:  b1032.2 (Two 138kV outlets to Delano and Camp Sherman)</t>
  </si>
  <si>
    <t>RTEP ID: b1818 (Expand Allen w/345/138 kV xfmr. And cut in double circuit tower line)</t>
  </si>
  <si>
    <t xml:space="preserve">Misc Transmission Expense </t>
  </si>
  <si>
    <t>9280001</t>
  </si>
  <si>
    <t>9280002</t>
  </si>
  <si>
    <t>9280005</t>
  </si>
  <si>
    <t>Regulatory Commission Exp-Adm</t>
  </si>
  <si>
    <t>Regulatory Commission Exp-Case</t>
  </si>
  <si>
    <t>Reg Com Exp-FERC Trans Cases</t>
  </si>
  <si>
    <t>9301001</t>
  </si>
  <si>
    <t>9301007</t>
  </si>
  <si>
    <t>9301010</t>
  </si>
  <si>
    <t>9301012</t>
  </si>
  <si>
    <t>9301015</t>
  </si>
  <si>
    <t>Newspaper Advertising Space</t>
  </si>
  <si>
    <t>Special Adv Space &amp; Prod Exp</t>
  </si>
  <si>
    <t>Publicity</t>
  </si>
  <si>
    <t>Public Opinion Surveys</t>
  </si>
  <si>
    <t>Other Corporate Comm Exp</t>
  </si>
  <si>
    <t>Real and Personal Property - WVA</t>
  </si>
  <si>
    <t>EXCESS FIT % RATE CHANGE</t>
  </si>
  <si>
    <t>BOOK VS. TAX DEPRECIATION</t>
  </si>
  <si>
    <t>CAPD INTEREST - SECTION 481(a) - CHANGE IN METHD</t>
  </si>
  <si>
    <t>RELOCATION COST - SECTION 481(a) - CHANGE IN METH</t>
  </si>
  <si>
    <t>PJM INTEGRATION - SEC 481(a) - INTANG - DFD LABOR</t>
  </si>
  <si>
    <t>R &amp; D DEDUCTION - SECTION 174</t>
  </si>
  <si>
    <t>GYPSUM WALLBOARD CONVEYOR</t>
  </si>
  <si>
    <t>BK PLANT IN SERVICE-SFAS 143-ARO</t>
  </si>
  <si>
    <t>DFIT-GENERATION PLANT</t>
  </si>
  <si>
    <t>GAIN/LOSS ON ACRS/MACRS PROPERTY</t>
  </si>
  <si>
    <t>GAIN/LOSS ON ACRS/MACRS-BK/TX UNIT OF PROPERTY</t>
  </si>
  <si>
    <t>AOFUDC</t>
  </si>
  <si>
    <t>ABFUDC</t>
  </si>
  <si>
    <t>ABFUDC-C&amp;SOE GROSS METHOD</t>
  </si>
  <si>
    <t>ABFUDC-SMART HOUSE - LAND</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</si>
  <si>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</si>
  <si>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</si>
  <si>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</si>
  <si>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</si>
  <si>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</si>
  <si>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</si>
  <si>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</si>
  <si>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</si>
  <si>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</si>
  <si>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BK/TAX GAIN-SALE OF MISC PROP</t>
  </si>
  <si>
    <t>BK VS. TAX GAIN/LOSS - SPORN UNIT 5</t>
  </si>
  <si>
    <t>CAPITALIZED LEASES - A/C 1011 ASSETS</t>
  </si>
  <si>
    <t>TX ACCEL AMORT - CAPITALIZED SOFTWARE</t>
  </si>
  <si>
    <t>CAPITALIZED RELOCATION COSTS</t>
  </si>
  <si>
    <t>GAIN ON REACQUIRED DEBT</t>
  </si>
  <si>
    <t>REMOVAL COSTS</t>
  </si>
  <si>
    <t>REMOVAL COSTS REV-SFAS 143-ARO</t>
  </si>
  <si>
    <t>FERC JMG ADJUSTMENT</t>
  </si>
  <si>
    <t>EXCESS ADFIT</t>
  </si>
  <si>
    <t xml:space="preserve">NON-UTILITY DEFERRED FIT </t>
  </si>
  <si>
    <t>SFAS 109 FLOW-THRU 282.3</t>
  </si>
  <si>
    <t>SFAS 109 EXCESS DFIT 282.4</t>
  </si>
  <si>
    <t>NOL - STATE C/F - DEF STATE TAX ASSET - L/T</t>
  </si>
  <si>
    <t>NOL-STATE C/F-DEF TAX ASSET-L/T - WV</t>
  </si>
  <si>
    <t>DEFD FUEL EXP-CUR DEFL SET UP</t>
  </si>
  <si>
    <t>DEFD FUEL EXP-OH FAC-CURRENT</t>
  </si>
  <si>
    <t xml:space="preserve">DEFD TAX GAIN - DIVIDEND OF PARK GARAGE  </t>
  </si>
  <si>
    <t>OH UNRECOV FUEL COST RESERVE</t>
  </si>
  <si>
    <t>DEF OH AUCTION EXP-INCREM</t>
  </si>
  <si>
    <t>PROP TX-STATE 2 OLD METHOD-TX</t>
  </si>
  <si>
    <t>DEFD TAX GAIN - SEC I REG ASSET</t>
  </si>
  <si>
    <t>DEFERRED INTERCOMPANY TAX G/L</t>
  </si>
  <si>
    <t>MTM BK GAIN - A/L - TAX DEFL</t>
  </si>
  <si>
    <t>MARK &amp; SPREAD-DEFL-283-A/L</t>
  </si>
  <si>
    <t>ACCRUED BK PENSION EXPENSE</t>
  </si>
  <si>
    <t>ACCRUED BK PENSION COSTS - SFAS 158</t>
  </si>
  <si>
    <t>REG ASSET - DEFERRED RTO COSTS</t>
  </si>
  <si>
    <t>CCD BILL- PREPAID PENSIONS-DFL</t>
  </si>
  <si>
    <t>DEFERRED EXPENSES</t>
  </si>
  <si>
    <t>RATE CASE DEFD CHARGES</t>
  </si>
  <si>
    <t>BK DEFL-DEMAND SIDE MNGMT EXP</t>
  </si>
  <si>
    <t>DEFD BOOK GAIN-EPA AUCTION</t>
  </si>
  <si>
    <t>REG LIAB-UNUSED SHOPPING INCENTIVES</t>
  </si>
  <si>
    <t>REG ASSET-CARRY CHGS - OHIO TCR RIDER</t>
  </si>
  <si>
    <t>REG ASSET-OHIO STORM RECOVERY</t>
  </si>
  <si>
    <t>REG ASSET-SFAS 158 - PENSIONS</t>
  </si>
  <si>
    <t>REG ASSET-SFAS 158 - SERP</t>
  </si>
  <si>
    <t>REG ASSET-SFAS 158 - OPEB</t>
  </si>
  <si>
    <t>REG ASSET-UNDERRECOVERY ESRP COSTS-OH</t>
  </si>
  <si>
    <t xml:space="preserve">REG ASSET-EDR - ORMET </t>
  </si>
  <si>
    <t>REG ASSET-DEFD RECOVERABLE DISTR ASSET FOR PWO</t>
  </si>
  <si>
    <t>REG ASSET-UNDER RECOVERED CAPACITY COST</t>
  </si>
  <si>
    <t>REG ASSET-CAPACITY COST CARRYING CHARGES</t>
  </si>
  <si>
    <t>REG ASSET-UND/REC DIST INVEST RIDER</t>
  </si>
  <si>
    <t>REG ASSET-UND/REC DIST RECOUP REV PROG</t>
  </si>
  <si>
    <t>REG ASSET-DIR UNRECOGNIZED EQUITY</t>
  </si>
  <si>
    <t>REG ASSET-UNCOLL-EDR DELAYED PMT ARNGMNT</t>
  </si>
  <si>
    <t>REG ASSET-UNREC AER COSTS-OH</t>
  </si>
  <si>
    <t>REG ASSET-DIST DECOUPLING CARRYING CHARGES</t>
  </si>
  <si>
    <t>REG ASSET-PTBAR CARRYING CHARGES (DIST DECOUP)</t>
  </si>
  <si>
    <t xml:space="preserve">REG ASSET-PTBAR UNDER REC (DIST DECOUP) </t>
  </si>
  <si>
    <t>REG ASSET-UNDER RECOVERY-OHIO BTCR</t>
  </si>
  <si>
    <t>REG ASSET-UNDER RECOVERY-ACRR COSTS-OH</t>
  </si>
  <si>
    <t>REG ASSET-UND/REC gSMART PHASE 2 O&amp;M</t>
  </si>
  <si>
    <t>REG ASSET-UNDER RECOVERY OVEC PPA</t>
  </si>
  <si>
    <t>REG ASSET-GLOBAL SETTLE - CAPACITY COSTS</t>
  </si>
  <si>
    <t>REG ASSET-UNDER RECOV-EXCESS TAX ETRR</t>
  </si>
  <si>
    <t>BOOK LEASES CAPITALIZED FOR TAX</t>
  </si>
  <si>
    <t>CAPITALIZED SOFTWARE COST - BOOK</t>
  </si>
  <si>
    <t>LOSS ON REACQUIRED DEBT</t>
  </si>
  <si>
    <t>DEFD SFAS 106 BOOK COSTS</t>
  </si>
  <si>
    <t>SFAS 106 PST RETIREMENT EXP - NON-DEDUCT CONT</t>
  </si>
  <si>
    <t>STATE TAX EXPENSE</t>
  </si>
  <si>
    <t>BOOK &gt; TAX BASIS-PRTSHP INVEST</t>
  </si>
  <si>
    <t>STATE NOL CURRENT BENEFIT</t>
  </si>
  <si>
    <t>SFAS 106-MEDICARE SUBSIDY-(PPACA)-REG ASSET</t>
  </si>
  <si>
    <t>REG ASSET - ACCRUED SFAS 112</t>
  </si>
  <si>
    <t>SFAS 109 FLOW-THRU 283.3</t>
  </si>
  <si>
    <t>SFAS 109 EXCESS DFIT 283.4</t>
  </si>
  <si>
    <t>ADIT FED - SFAS 133 NONAFFIL 2830006</t>
  </si>
  <si>
    <t>ADIT FED - HDG-CF-INT RATE 28300015</t>
  </si>
  <si>
    <t>ADIT FED - HDG-CF-FOR EXCHG 28300016</t>
  </si>
  <si>
    <t>SFAS 109 - DEFD STATE INCOME TAXES</t>
  </si>
  <si>
    <t>TAX ALLOC-ITC-10%-46F1</t>
  </si>
  <si>
    <t>NOL &amp; TAX CREDIT C/F - DEF TAX ASSET</t>
  </si>
  <si>
    <t>INT EXP CAPITALIZED FOR TAX</t>
  </si>
  <si>
    <t>CIAC - BOOK RECEIPTS</t>
  </si>
  <si>
    <t>CUST ADV INC FOR TAX</t>
  </si>
  <si>
    <t>TAXABLE GRANTS-CAPITAL PORTION</t>
  </si>
  <si>
    <t>PROVS POSS REV REFDS</t>
  </si>
  <si>
    <t>PROV FOR RATE REFUND-TAX REFORM</t>
  </si>
  <si>
    <t>PROV FOR RATE REFUND-EXCESS PROTECTED</t>
  </si>
  <si>
    <t>LOSS ON DISP OF PROP - SFAS 143 - ARO -BK</t>
  </si>
  <si>
    <t>PROV FOR REFUND-DEFERRED FAC-OH</t>
  </si>
  <si>
    <t>MARK &amp; SPREAD - DEFL - 190 - A/L</t>
  </si>
  <si>
    <t>PROV WORKER'S COMP</t>
  </si>
  <si>
    <t>SUPPLEMENTAL EXECUTIVE RETIREMENT PLAN</t>
  </si>
  <si>
    <t>ACCRD SUP EXEC RETIR PLAN COSTS-SFAS 158</t>
  </si>
  <si>
    <t>ACCRD BK SUP. SAVINGS PLAN EXP</t>
  </si>
  <si>
    <t>ACCRUED BK BENEFIT COSTS</t>
  </si>
  <si>
    <t>ACCRUED PSI PLAN EXP</t>
  </si>
  <si>
    <t>STOCK BASED COMP-CAREER SHARES</t>
  </si>
  <si>
    <t>BK ACCRD CUST EDUC FUND REIMB</t>
  </si>
  <si>
    <t>BK PROV-LT COAL NOTE RECEIVABLE</t>
  </si>
  <si>
    <t>BK PROV UNCOLL ACCTS</t>
  </si>
  <si>
    <t>BK PROV UNCOLL ACCTS-LT ORMET</t>
  </si>
  <si>
    <t>ACCRD COMPANYWIDE INCENTV PLAN</t>
  </si>
  <si>
    <t>ACCRD ENVIRONMENTAL LIAB-CURRENT</t>
  </si>
  <si>
    <t>ACCRUED BOOK VACATION PAY</t>
  </si>
  <si>
    <t>(ICDP)-INCENTIVE COMP DEFERRAL PLAN</t>
  </si>
  <si>
    <t>ACCRD PARTNERSHIP WITH OH-NONCURRENT</t>
  </si>
  <si>
    <t>ACCRD PARTNERSHIP WITH OH-CURRENT</t>
  </si>
  <si>
    <t>ACCRD OH GROWTH FUND-NONCURRENT</t>
  </si>
  <si>
    <t>ACCRD OH GROWTH FUND-CURRENT</t>
  </si>
  <si>
    <t>ACCRUED BK SEI EMP BENEFIT COSTS</t>
  </si>
  <si>
    <t>ACCRUED BOOK SEVERANCE BENEFITS</t>
  </si>
  <si>
    <t>BK ACCRUAL -COOK CT RENT HOLIDAY</t>
  </si>
  <si>
    <t>ACCRUED INTEREST EXPENSE - STATE</t>
  </si>
  <si>
    <t>ACCRUED BK SEVERANCE BENEFITS</t>
  </si>
  <si>
    <t>ACCRUED INTEREST-LONG-TERM - FIN 48</t>
  </si>
  <si>
    <t>CCD BILL-DFRD RETIRE BENE-DFL</t>
  </si>
  <si>
    <t>DEFD STORM DAMAGE</t>
  </si>
  <si>
    <t>TX DFL JT POLE ATT CSTS</t>
  </si>
  <si>
    <t>BK ACC MIN RENTS-GAVIN SCRUB</t>
  </si>
  <si>
    <t>DEFD BK CONTRACT REVENUE</t>
  </si>
  <si>
    <t>REG LIAB-UNREAL MTM GAIN-DEFL</t>
  </si>
  <si>
    <t>BK AMORT-QUAL OF SRVC ENHANCE</t>
  </si>
  <si>
    <t>ADVANCE RENTAL INC (CUR MO)</t>
  </si>
  <si>
    <t>DEFD REV-BONUS LEASE SHORT-TERM</t>
  </si>
  <si>
    <t>DEFD REV-BONUS LEASE LONG-TERM</t>
  </si>
  <si>
    <t>AMORT - GOODWILL PER BOOKS</t>
  </si>
  <si>
    <t>CAPITALIZED SOFTWARE COSTS-TAX</t>
  </si>
  <si>
    <t>INSTALL ALLOWANCES CAPD - TAX</t>
  </si>
  <si>
    <t>BK CAPD SETTLEMENT CHARGES</t>
  </si>
  <si>
    <t>ACCRD SFAS 106 PST RETIRE EXP</t>
  </si>
  <si>
    <t>ACCRD OPEB COSTS - SFAS 158</t>
  </si>
  <si>
    <t>ACCRD SFAS 112 PST EMPLOY BEN</t>
  </si>
  <si>
    <t>ACCRD BOOK ARO EXPENSE - SFAS 143</t>
  </si>
  <si>
    <t>SFAS 106-MEDICARE SUBSIDY-NORM-(PPACA)</t>
  </si>
  <si>
    <t>REMOVAL COST CAPD-BK/TX UNIT OF PROP</t>
  </si>
  <si>
    <t>STATE TAX EXPENSED</t>
  </si>
  <si>
    <t>GRIDSMART CAPITAL RESERVE</t>
  </si>
  <si>
    <t>ACCRD SIT/FRANCHISE TAX RESERVE</t>
  </si>
  <si>
    <t>ACCRUED SALES &amp; USE TAX RESERVE</t>
  </si>
  <si>
    <t>ACCRD SIT TX RESERVE-LNG-TERM-FIN 48</t>
  </si>
  <si>
    <t>ACCRD SIT TX RESERVE-SHRT-TERM-FIN 48</t>
  </si>
  <si>
    <t>1997-2003 IRS AUDIT SETTLEMENT</t>
  </si>
  <si>
    <t>AMT CREDIT - DEFERRED</t>
  </si>
  <si>
    <t>FIN 48 - DEFD STATE INCOME TAXES</t>
  </si>
  <si>
    <t>REALIZED CAPITAL LOSS</t>
  </si>
  <si>
    <t>RESTRICTED STOCK PLAN</t>
  </si>
  <si>
    <t>PSI - STOCK BASED COMP</t>
  </si>
  <si>
    <t>IRS AUDIT SETTLEMENT</t>
  </si>
  <si>
    <t>IRS CAPITALIZATION ADJUSTMENT</t>
  </si>
  <si>
    <t>SFAS 109 FLOW-THRU 190.3</t>
  </si>
  <si>
    <t>SFAS 109 EXCESS DFIT 190.4</t>
  </si>
  <si>
    <t>SFAS 133 ADIT FED - SFAS NONAFFIL 1900006</t>
  </si>
  <si>
    <t>ADIT FED - PENSION OCI NAF 1900009</t>
  </si>
  <si>
    <t>ADIT FED - HEDGE-CF-FOR EXCHG 1900016</t>
  </si>
  <si>
    <t>DEFERRED SIT  1901002</t>
  </si>
  <si>
    <t>Real and Personal Property - West Virginia</t>
  </si>
  <si>
    <t xml:space="preserve">Real and Personal Property - </t>
  </si>
  <si>
    <t>2280003</t>
  </si>
  <si>
    <t>BOOK OPERATING LEASE - ASSET</t>
  </si>
  <si>
    <t>BOOK OPERATING LEASE - LIAB</t>
  </si>
  <si>
    <t>TAX DEPRECIATION LOOKBACK</t>
  </si>
  <si>
    <t>DEFD EXPS (A/C 186)</t>
  </si>
  <si>
    <t>REG ASSET-SMART CITY RIDER-UND/REC</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</si>
  <si>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</si>
  <si>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</si>
  <si>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</si>
  <si>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</si>
  <si>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</si>
  <si>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</si>
  <si>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</si>
  <si>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</si>
  <si>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</si>
  <si>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</si>
  <si>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</si>
  <si>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</si>
  <si>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</si>
  <si>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</si>
  <si>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</si>
  <si>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</si>
  <si>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</si>
  <si>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</si>
  <si>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</si>
  <si>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</si>
  <si>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</si>
  <si>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</si>
  <si>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</si>
  <si>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</si>
  <si>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</si>
  <si>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</si>
  <si>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</si>
  <si>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</si>
  <si>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</si>
  <si>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</si>
  <si>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</si>
  <si>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</si>
  <si>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</si>
  <si>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</si>
  <si>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</si>
  <si>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</si>
  <si>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</si>
  <si>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</si>
  <si>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</si>
  <si>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</si>
  <si>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</si>
  <si>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</si>
  <si>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</si>
  <si>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</si>
  <si>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</si>
  <si>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</si>
  <si>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</si>
  <si>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</si>
  <si>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</si>
  <si>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</si>
  <si>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</si>
  <si>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</si>
  <si>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</si>
  <si>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</si>
  <si>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</si>
  <si>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</si>
  <si>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</si>
  <si>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</si>
  <si>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</si>
  <si>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</si>
  <si>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</si>
  <si>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</si>
  <si>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</si>
  <si>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</si>
  <si>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</si>
  <si>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</si>
  <si>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</si>
  <si>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</si>
  <si>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</si>
  <si>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</si>
  <si>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</si>
  <si>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</si>
  <si>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</si>
  <si>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</si>
  <si>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</si>
  <si>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</si>
  <si>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</si>
  <si>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</si>
  <si>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2b)</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</si>
  <si>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</si>
  <si>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</si>
  <si>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</si>
  <si>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RTEP ID: b2833 (Reconductor the Maddox Creek - East Lima 345 kV circuit)</t>
  </si>
  <si>
    <t>PAGR Audit</t>
  </si>
  <si>
    <t>EFFECTIVE AS OF 3/1/2019</t>
  </si>
  <si>
    <t>EFFECTIVE AS OF 4/1/2012</t>
  </si>
  <si>
    <t>Gross Receipts Audit</t>
  </si>
  <si>
    <t>2018 Forecasted Revenue Requirement For Year 2018</t>
  </si>
  <si>
    <t>An over or under collection will be recovered prorata over 2018, held for 2019 and returned prorate over 2020</t>
  </si>
  <si>
    <t>Video Communications</t>
  </si>
  <si>
    <t>9301014</t>
  </si>
  <si>
    <t>Selling Price Normalization Exp</t>
  </si>
  <si>
    <t>INSURANCE PREMIUMS ACCRUED</t>
  </si>
  <si>
    <t>FICA - NON-CUURENT</t>
  </si>
  <si>
    <t>DEFD REV - SAN ANGELO SETTLEMENT</t>
  </si>
  <si>
    <t>PROP TAX-RKPT U2-OLD METHOD TX</t>
  </si>
  <si>
    <t>Accrued COVID-19 Incremental Costs - non-TX</t>
  </si>
  <si>
    <t>RATE CASE DEFD CHGS</t>
  </si>
  <si>
    <t>GROSS RECEIPTS- TAX EXPENSE</t>
  </si>
  <si>
    <t>WS B - 2 Col B/C, ADIT item 3.12</t>
  </si>
  <si>
    <t>283 EXCESS ADJUSTMENT</t>
  </si>
  <si>
    <t>WS B - 1 Cols M+N+O , ADIT Item 5.37</t>
  </si>
  <si>
    <t>WS B - 1 Col C/D, ADIT Item 5.40</t>
  </si>
  <si>
    <t>WS B - 1 Col C, ADIT Item 9.90</t>
  </si>
  <si>
    <t>WS B - 1 Col B/C, ADIT Item 9.93</t>
  </si>
  <si>
    <t>WS B - 1 Col N, ADIT 5.367</t>
  </si>
  <si>
    <t>WS B - 1 Col N, item 9.90</t>
  </si>
  <si>
    <t>MICHIGAN AND FERC</t>
  </si>
  <si>
    <t>$0 at Dec 2018 - use old rate</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</si>
  <si>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</si>
  <si>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</si>
  <si>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</si>
  <si>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</si>
  <si>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</si>
  <si>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</si>
  <si>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</si>
  <si>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</si>
  <si>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</si>
  <si>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</si>
  <si>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</si>
  <si>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</si>
  <si>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</si>
  <si>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</si>
  <si>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</si>
  <si>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</si>
  <si>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</si>
  <si>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</si>
  <si>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Accum Deferred SIT-TBBS 190.6002</t>
  </si>
  <si>
    <t>Accum Deferred FIT-TBBS 190.6001</t>
  </si>
  <si>
    <t>SFAS 109 FLOW-THRU 282.6</t>
  </si>
  <si>
    <t>Accum Defd Other FIT-TBBS 283.6001</t>
  </si>
  <si>
    <t>Accum Deferred SIT-TBBS 283.6002</t>
  </si>
  <si>
    <t>For Year Ended December 31, 2021</t>
  </si>
  <si>
    <t>1/1/2021 Beginning  Balances</t>
  </si>
  <si>
    <t>12/31/2021 Ending Balance</t>
  </si>
  <si>
    <t>BOOK LEASES DEFERRED</t>
  </si>
  <si>
    <t>282 EXCESS ADJUSTMENT</t>
  </si>
  <si>
    <t xml:space="preserve"> 282-ACCUM DEFD FEDERAL TBBS ADJ</t>
  </si>
  <si>
    <t>REG ASSET-LSE Formula Rate Defer-Dep</t>
  </si>
  <si>
    <t xml:space="preserve"> 283-ACCUM DEFD FEDERAL TBBS ADJ</t>
  </si>
  <si>
    <t xml:space="preserve"> 283-ACCUM DEFD STATE TBBS ADJ</t>
  </si>
  <si>
    <t>pg. 263, Ln. 61(i)</t>
  </si>
  <si>
    <t>pg. 263, Ln. 62(i)</t>
  </si>
  <si>
    <t>pg. 263, Ln. 37(i)</t>
  </si>
  <si>
    <t>pg. 263, Ln. 38(i)</t>
  </si>
  <si>
    <t>pg. 263, Ln. 34(i)</t>
  </si>
  <si>
    <t>pg. 263, Ln. 35(i)</t>
  </si>
  <si>
    <t>pg. 263, Ln. 36(i)</t>
  </si>
  <si>
    <t>pg. 263, Ln. 67(i)</t>
  </si>
  <si>
    <t>pg. 263, Ln. 41(i)</t>
  </si>
  <si>
    <t>pg. 263, Ln. 43(i)</t>
  </si>
  <si>
    <t>pg. 263, Ln. 44(i)</t>
  </si>
  <si>
    <t>pg. 263, Ln. 52(i)</t>
  </si>
  <si>
    <t>pg. 263, Ln. 50(i)</t>
  </si>
  <si>
    <t>pg. 263, Ln. 59(i)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</si>
  <si>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</si>
  <si>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</si>
  <si>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</si>
  <si>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</si>
  <si>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</si>
  <si>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</si>
  <si>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</si>
  <si>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</si>
  <si>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</si>
  <si>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5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</si>
  <si>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</si>
  <si>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</si>
  <si>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</si>
  <si>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</si>
  <si>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</si>
  <si>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</si>
  <si>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</si>
  <si>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</si>
  <si>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</si>
  <si>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</si>
  <si>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</si>
  <si>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</si>
  <si>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</si>
  <si>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</si>
  <si>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</si>
  <si>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</si>
  <si>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</si>
  <si>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 xml:space="preserve">Deferred Equity Carrying Charge - Fuel Amortization </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</si>
  <si>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</si>
  <si>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</si>
  <si>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</si>
  <si>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</si>
  <si>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</si>
  <si>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</si>
  <si>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</si>
  <si>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</si>
  <si>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</si>
  <si>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</si>
  <si>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</si>
  <si>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</si>
  <si>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</si>
  <si>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</si>
  <si>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9+10+11)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</si>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</sst>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 numFmtId="201" formatCode="_(* #,##0.000_);_(* \(#,##0.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b/>
      <sz val="10"/>
      <color rgb="FF0000FF"/>
      <name val="Arial"/>
      <family val="2"/>
    </font>
    <font>
      <strike/>
      <sz val="12"/>
      <color rgb="FFFF0000"/>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7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auto="1"/>
      </top>
      <bottom style="thin">
        <color auto="1"/>
      </bottom>
      <diagonal/>
    </border>
  </borders>
  <cellStyleXfs count="658">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53" fillId="0" borderId="0" applyFont="0" applyFill="0" applyBorder="0" applyAlignment="0" applyProtection="0"/>
    <xf numFmtId="43" fontId="155"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4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3" fillId="0" borderId="0" applyFont="0" applyFill="0" applyBorder="0" applyAlignment="0" applyProtection="0"/>
    <xf numFmtId="43" fontId="155"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53" fillId="0" borderId="0" applyFont="0" applyFill="0" applyBorder="0" applyAlignment="0" applyProtection="0"/>
    <xf numFmtId="44" fontId="155" fillId="0" borderId="0" applyFont="0" applyFill="0" applyBorder="0" applyAlignment="0" applyProtection="0"/>
    <xf numFmtId="44" fontId="159"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59" fillId="0" borderId="0" applyFont="0" applyFill="0" applyBorder="0" applyAlignment="0" applyProtection="0"/>
    <xf numFmtId="44" fontId="153" fillId="0" borderId="0" applyFont="0" applyFill="0" applyBorder="0" applyAlignment="0" applyProtection="0"/>
    <xf numFmtId="44" fontId="155"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28" fillId="0" borderId="0"/>
    <xf numFmtId="3" fontId="16" fillId="0" borderId="0"/>
    <xf numFmtId="3" fontId="16" fillId="0" borderId="0"/>
    <xf numFmtId="3" fontId="128" fillId="0" borderId="0"/>
    <xf numFmtId="0" fontId="16" fillId="0" borderId="0"/>
    <xf numFmtId="3" fontId="16" fillId="0" borderId="0"/>
    <xf numFmtId="3" fontId="128" fillId="0" borderId="0"/>
    <xf numFmtId="3" fontId="16" fillId="0" borderId="0"/>
    <xf numFmtId="0" fontId="159" fillId="0" borderId="0"/>
    <xf numFmtId="3" fontId="128" fillId="0" borderId="0"/>
    <xf numFmtId="3" fontId="16" fillId="0" borderId="0"/>
    <xf numFmtId="3" fontId="128" fillId="0" borderId="0"/>
    <xf numFmtId="3" fontId="16" fillId="0" borderId="0"/>
    <xf numFmtId="0" fontId="16" fillId="0" borderId="0"/>
    <xf numFmtId="3" fontId="128" fillId="0" borderId="0"/>
    <xf numFmtId="3" fontId="16" fillId="0" borderId="0"/>
    <xf numFmtId="3" fontId="128" fillId="0" borderId="0"/>
    <xf numFmtId="3" fontId="16" fillId="0" borderId="0"/>
    <xf numFmtId="3" fontId="128" fillId="0" borderId="0"/>
    <xf numFmtId="3" fontId="16" fillId="0" borderId="0"/>
    <xf numFmtId="3" fontId="129" fillId="0" borderId="0"/>
    <xf numFmtId="3" fontId="16" fillId="0" borderId="0"/>
    <xf numFmtId="0" fontId="16" fillId="0" borderId="0"/>
    <xf numFmtId="0" fontId="127" fillId="0" borderId="0"/>
    <xf numFmtId="0" fontId="160" fillId="0" borderId="0"/>
    <xf numFmtId="0" fontId="16" fillId="0" borderId="0"/>
    <xf numFmtId="0" fontId="16" fillId="0" borderId="0"/>
    <xf numFmtId="0" fontId="160" fillId="0" borderId="0"/>
    <xf numFmtId="0" fontId="16" fillId="0" borderId="0"/>
    <xf numFmtId="0"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6" fillId="0" borderId="0"/>
    <xf numFmtId="3" fontId="136" fillId="0" borderId="0"/>
    <xf numFmtId="3" fontId="16" fillId="0" borderId="0"/>
    <xf numFmtId="3" fontId="136"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28" fillId="0" borderId="0"/>
    <xf numFmtId="0" fontId="16" fillId="0" borderId="0"/>
    <xf numFmtId="0" fontId="16" fillId="0" borderId="0"/>
    <xf numFmtId="0" fontId="129" fillId="0" borderId="0"/>
    <xf numFmtId="0" fontId="16" fillId="0" borderId="0"/>
    <xf numFmtId="0" fontId="16" fillId="0" borderId="0"/>
    <xf numFmtId="0" fontId="16" fillId="0" borderId="0"/>
    <xf numFmtId="0" fontId="133" fillId="0" borderId="0"/>
    <xf numFmtId="0" fontId="16" fillId="0" borderId="0"/>
    <xf numFmtId="0" fontId="136" fillId="0" borderId="0"/>
    <xf numFmtId="0" fontId="16" fillId="0" borderId="0"/>
    <xf numFmtId="0" fontId="153" fillId="0" borderId="0"/>
    <xf numFmtId="0" fontId="155" fillId="0" borderId="0"/>
    <xf numFmtId="0" fontId="16" fillId="0" borderId="0"/>
    <xf numFmtId="3" fontId="121" fillId="0" borderId="0"/>
    <xf numFmtId="3" fontId="16" fillId="0" borderId="0"/>
    <xf numFmtId="0" fontId="16" fillId="0" borderId="0"/>
    <xf numFmtId="3" fontId="16" fillId="0" borderId="0"/>
    <xf numFmtId="0" fontId="16" fillId="0" borderId="0"/>
    <xf numFmtId="0" fontId="159" fillId="0" borderId="0"/>
    <xf numFmtId="0" fontId="128" fillId="0" borderId="0"/>
    <xf numFmtId="0" fontId="16" fillId="0" borderId="0"/>
    <xf numFmtId="0" fontId="16" fillId="0" borderId="0"/>
    <xf numFmtId="0" fontId="129" fillId="0" borderId="0"/>
    <xf numFmtId="0" fontId="16" fillId="0" borderId="0"/>
    <xf numFmtId="0" fontId="136" fillId="0" borderId="0"/>
    <xf numFmtId="0" fontId="16" fillId="0" borderId="0"/>
    <xf numFmtId="0" fontId="159" fillId="0" borderId="0"/>
    <xf numFmtId="0" fontId="16" fillId="0" borderId="0"/>
    <xf numFmtId="0" fontId="159" fillId="0" borderId="0"/>
    <xf numFmtId="0" fontId="16" fillId="0" borderId="0"/>
    <xf numFmtId="0" fontId="159" fillId="0" borderId="0"/>
    <xf numFmtId="0" fontId="16" fillId="0" borderId="0"/>
    <xf numFmtId="0" fontId="7" fillId="0" borderId="0" applyProtection="0"/>
    <xf numFmtId="0" fontId="6" fillId="0" borderId="0"/>
    <xf numFmtId="0" fontId="129" fillId="0" borderId="0"/>
    <xf numFmtId="0" fontId="16" fillId="0" borderId="0"/>
    <xf numFmtId="0" fontId="16" fillId="0" borderId="0"/>
    <xf numFmtId="0" fontId="133" fillId="0" borderId="0"/>
    <xf numFmtId="0" fontId="16" fillId="0" borderId="0"/>
    <xf numFmtId="172" fontId="7" fillId="0" borderId="0" applyProtection="0"/>
    <xf numFmtId="0" fontId="6" fillId="0" borderId="0"/>
    <xf numFmtId="0" fontId="153"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2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53" fillId="0" borderId="0" applyFont="0" applyFill="0" applyBorder="0" applyAlignment="0" applyProtection="0"/>
    <xf numFmtId="9" fontId="155" fillId="0" borderId="0" applyFont="0" applyFill="0" applyBorder="0" applyAlignment="0" applyProtection="0"/>
    <xf numFmtId="9" fontId="15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59" fillId="0" borderId="0" applyFont="0" applyFill="0" applyBorder="0" applyAlignment="0" applyProtection="0"/>
    <xf numFmtId="9" fontId="14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3" fillId="0" borderId="0" applyFont="0" applyFill="0" applyBorder="0" applyAlignment="0" applyProtection="0"/>
    <xf numFmtId="9" fontId="155"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xf numFmtId="9" fontId="171" fillId="0" borderId="0" applyFont="0" applyFill="0" applyBorder="0" applyAlignment="0" applyProtection="0"/>
    <xf numFmtId="172" fontId="171" fillId="0" borderId="0" applyProtection="0"/>
    <xf numFmtId="43" fontId="5" fillId="0" borderId="0" applyFont="0" applyFill="0" applyBorder="0" applyAlignment="0" applyProtection="0"/>
    <xf numFmtId="43" fontId="171" fillId="0" borderId="0" applyFont="0" applyFill="0" applyBorder="0" applyAlignment="0" applyProtection="0"/>
    <xf numFmtId="172" fontId="171" fillId="0" borderId="0" applyProtection="0"/>
    <xf numFmtId="44" fontId="174" fillId="0" borderId="0" applyFont="0" applyFill="0" applyBorder="0" applyAlignment="0" applyProtection="0"/>
    <xf numFmtId="42" fontId="174" fillId="0" borderId="0" applyFont="0" applyFill="0" applyBorder="0" applyAlignment="0" applyProtection="0"/>
    <xf numFmtId="41" fontId="174" fillId="0" borderId="0" applyFont="0" applyFill="0" applyBorder="0" applyAlignment="0" applyProtection="0"/>
    <xf numFmtId="0" fontId="4" fillId="0" borderId="0"/>
    <xf numFmtId="43" fontId="4" fillId="0" borderId="0" applyFont="0" applyFill="0" applyBorder="0" applyAlignment="0" applyProtection="0"/>
    <xf numFmtId="172" fontId="10" fillId="0" borderId="66" applyFill="0"/>
    <xf numFmtId="0" fontId="62" fillId="20" borderId="65" applyNumberFormat="0" applyAlignment="0" applyProtection="0"/>
    <xf numFmtId="0" fontId="62" fillId="20" borderId="65" applyNumberFormat="0" applyAlignment="0" applyProtection="0"/>
    <xf numFmtId="0" fontId="7" fillId="23" borderId="64" applyNumberFormat="0" applyFont="0" applyAlignment="0" applyProtection="0"/>
    <xf numFmtId="0" fontId="7" fillId="23" borderId="64" applyNumberFormat="0" applyFont="0" applyAlignment="0" applyProtection="0"/>
    <xf numFmtId="0" fontId="52" fillId="20" borderId="67" applyNumberFormat="0" applyAlignment="0" applyProtection="0"/>
    <xf numFmtId="0" fontId="52" fillId="20" borderId="67" applyNumberFormat="0" applyAlignment="0" applyProtection="0"/>
    <xf numFmtId="172" fontId="10" fillId="0" borderId="58" applyFill="0"/>
    <xf numFmtId="0" fontId="52" fillId="20" borderId="59" applyNumberFormat="0" applyAlignment="0" applyProtection="0"/>
    <xf numFmtId="0" fontId="52" fillId="20" borderId="59" applyNumberFormat="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59" fillId="7" borderId="67" applyNumberFormat="0" applyAlignment="0" applyProtection="0"/>
    <xf numFmtId="0" fontId="59" fillId="7" borderId="67" applyNumberFormat="0" applyAlignment="0" applyProtection="0"/>
    <xf numFmtId="0" fontId="59" fillId="7" borderId="59" applyNumberFormat="0" applyAlignment="0" applyProtection="0"/>
    <xf numFmtId="0" fontId="59" fillId="7" borderId="59" applyNumberFormat="0" applyAlignment="0" applyProtection="0"/>
    <xf numFmtId="0" fontId="59" fillId="7" borderId="63" applyNumberFormat="0" applyAlignment="0" applyProtection="0"/>
    <xf numFmtId="0" fontId="59" fillId="7" borderId="63" applyNumberFormat="0" applyAlignment="0" applyProtection="0"/>
    <xf numFmtId="0" fontId="4" fillId="0" borderId="0"/>
    <xf numFmtId="0" fontId="16" fillId="0" borderId="0"/>
    <xf numFmtId="0" fontId="16" fillId="0" borderId="0"/>
    <xf numFmtId="0" fontId="4" fillId="0" borderId="0"/>
    <xf numFmtId="0" fontId="52" fillId="20" borderId="63" applyNumberFormat="0" applyAlignment="0" applyProtection="0"/>
    <xf numFmtId="0" fontId="4" fillId="0" borderId="0"/>
    <xf numFmtId="0" fontId="52" fillId="20" borderId="63" applyNumberFormat="0" applyAlignment="0" applyProtection="0"/>
    <xf numFmtId="0" fontId="4" fillId="0" borderId="0"/>
    <xf numFmtId="0" fontId="4" fillId="0" borderId="0"/>
    <xf numFmtId="0" fontId="7" fillId="23" borderId="60" applyNumberFormat="0" applyFont="0" applyAlignment="0" applyProtection="0"/>
    <xf numFmtId="0" fontId="7" fillId="23" borderId="60" applyNumberFormat="0" applyFont="0" applyAlignment="0" applyProtection="0"/>
    <xf numFmtId="0" fontId="7" fillId="23" borderId="68" applyNumberFormat="0" applyFont="0" applyAlignment="0" applyProtection="0"/>
    <xf numFmtId="0" fontId="62" fillId="20" borderId="69" applyNumberFormat="0" applyAlignment="0" applyProtection="0"/>
    <xf numFmtId="0" fontId="62" fillId="20" borderId="69" applyNumberFormat="0" applyAlignment="0" applyProtection="0"/>
    <xf numFmtId="172" fontId="10" fillId="0" borderId="62" applyFill="0"/>
    <xf numFmtId="172" fontId="8" fillId="0" borderId="57" applyFill="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4" fillId="0" borderId="0"/>
    <xf numFmtId="0" fontId="16" fillId="0" borderId="0"/>
    <xf numFmtId="0" fontId="7" fillId="23" borderId="68" applyNumberFormat="0" applyFont="0" applyAlignment="0" applyProtection="0"/>
    <xf numFmtId="9" fontId="16" fillId="0" borderId="0" applyFont="0" applyFill="0" applyBorder="0" applyAlignment="0" applyProtection="0"/>
    <xf numFmtId="43" fontId="4" fillId="0" borderId="0" applyFont="0" applyFill="0" applyBorder="0" applyAlignment="0" applyProtection="0"/>
    <xf numFmtId="0" fontId="13" fillId="0" borderId="61" applyNumberFormat="0" applyFont="0" applyBorder="0">
      <alignment horizontal="right"/>
    </xf>
    <xf numFmtId="0" fontId="6" fillId="0" borderId="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0" fontId="3"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xf numFmtId="0" fontId="3" fillId="0" borderId="0"/>
    <xf numFmtId="9" fontId="171" fillId="0" borderId="0" applyFont="0" applyFill="0" applyBorder="0" applyAlignment="0" applyProtection="0"/>
    <xf numFmtId="43" fontId="3" fillId="0" borderId="0" applyFont="0" applyFill="0" applyBorder="0" applyAlignment="0" applyProtection="0"/>
    <xf numFmtId="43" fontId="171" fillId="0" borderId="0" applyFont="0" applyFill="0" applyBorder="0" applyAlignment="0" applyProtection="0"/>
    <xf numFmtId="172" fontId="171" fillId="0" borderId="0" applyProtection="0"/>
    <xf numFmtId="44" fontId="174" fillId="0" borderId="0" applyFont="0" applyFill="0" applyBorder="0" applyAlignment="0" applyProtection="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172" fontId="171" fillId="0" borderId="0" applyProtection="0"/>
    <xf numFmtId="43" fontId="2" fillId="0" borderId="0" applyFont="0" applyFill="0" applyBorder="0" applyAlignment="0" applyProtection="0"/>
    <xf numFmtId="0" fontId="6" fillId="0" borderId="0"/>
    <xf numFmtId="172" fontId="7" fillId="0" borderId="0" applyProtection="0"/>
    <xf numFmtId="0" fontId="1" fillId="0" borderId="0"/>
    <xf numFmtId="0" fontId="6" fillId="0" borderId="0"/>
  </cellStyleXfs>
  <cellXfs count="1766">
    <xf numFmtId="0" fontId="0" fillId="0" borderId="0" xfId="0"/>
    <xf numFmtId="0" fontId="0" fillId="0" borderId="0" xfId="0" applyAlignment="1">
      <alignment horizontal="center"/>
    </xf>
    <xf numFmtId="0" fontId="9" fillId="0" borderId="0" xfId="0" applyFont="1"/>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54" applyFont="1" applyFill="1" applyAlignment="1">
      <alignment horizontal="center"/>
    </xf>
    <xf numFmtId="0" fontId="19" fillId="0" borderId="0" xfId="254" applyFont="1" applyFill="1"/>
    <xf numFmtId="9" fontId="13" fillId="0" borderId="0" xfId="254" quotePrefix="1" applyNumberFormat="1" applyFont="1" applyFill="1" applyAlignment="1">
      <alignment horizontal="center"/>
    </xf>
    <xf numFmtId="0" fontId="21" fillId="0" borderId="0" xfId="254" applyFont="1" applyAlignment="1">
      <alignment horizontal="right"/>
    </xf>
    <xf numFmtId="0" fontId="21" fillId="0" borderId="0" xfId="254" applyFont="1" applyAlignment="1">
      <alignment horizontal="center"/>
    </xf>
    <xf numFmtId="0" fontId="21" fillId="0" borderId="0" xfId="254" applyFont="1" applyFill="1" applyAlignment="1">
      <alignment horizontal="center"/>
    </xf>
    <xf numFmtId="9" fontId="13" fillId="0" borderId="0" xfId="254"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22" fillId="0" borderId="0" xfId="0" applyFont="1"/>
    <xf numFmtId="0" fontId="16" fillId="0" borderId="0" xfId="254" applyFont="1" applyFill="1"/>
    <xf numFmtId="41" fontId="16" fillId="0" borderId="0" xfId="254" applyNumberFormat="1" applyFont="1" applyFill="1"/>
    <xf numFmtId="0" fontId="19" fillId="0" borderId="0" xfId="254" applyFont="1" applyFill="1" applyAlignment="1">
      <alignment horizontal="left"/>
    </xf>
    <xf numFmtId="3" fontId="16" fillId="0" borderId="0" xfId="0" applyNumberFormat="1" applyFont="1" applyFill="1"/>
    <xf numFmtId="0" fontId="9" fillId="0" borderId="0" xfId="254" applyFont="1" applyFill="1" applyAlignment="1">
      <alignment horizontal="right"/>
    </xf>
    <xf numFmtId="40" fontId="16" fillId="0" borderId="0" xfId="0" applyNumberFormat="1" applyFont="1" applyFill="1"/>
    <xf numFmtId="0" fontId="16" fillId="0" borderId="0" xfId="254" applyFont="1"/>
    <xf numFmtId="0" fontId="9" fillId="0" borderId="0" xfId="254" applyFont="1" applyFill="1"/>
    <xf numFmtId="0" fontId="13" fillId="0" borderId="0" xfId="254" applyFont="1" applyFill="1" applyBorder="1" applyAlignment="1">
      <alignment horizontal="left"/>
    </xf>
    <xf numFmtId="0" fontId="13" fillId="0" borderId="0" xfId="254" applyFont="1" applyFill="1" applyBorder="1"/>
    <xf numFmtId="0" fontId="16" fillId="0" borderId="0" xfId="254" applyFont="1" applyAlignment="1">
      <alignment horizontal="left"/>
    </xf>
    <xf numFmtId="0" fontId="10" fillId="0" borderId="0" xfId="254"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3" fontId="23" fillId="0" borderId="0" xfId="0" applyNumberFormat="1" applyFont="1" applyFill="1" applyAlignment="1"/>
    <xf numFmtId="41" fontId="31" fillId="0" borderId="0" xfId="254" applyNumberFormat="1" applyFont="1" applyFill="1" applyBorder="1"/>
    <xf numFmtId="0" fontId="32" fillId="0" borderId="0" xfId="254" applyFont="1" applyFill="1" applyAlignment="1">
      <alignment horizontal="left"/>
    </xf>
    <xf numFmtId="0" fontId="30" fillId="0" borderId="0" xfId="254" applyFont="1" applyFill="1"/>
    <xf numFmtId="41" fontId="30" fillId="0" borderId="0" xfId="254" applyNumberFormat="1" applyFont="1" applyFill="1" applyBorder="1" applyAlignment="1">
      <alignment vertical="top"/>
    </xf>
    <xf numFmtId="181" fontId="30" fillId="0" borderId="0" xfId="254" applyNumberFormat="1" applyFont="1" applyFill="1"/>
    <xf numFmtId="41" fontId="30" fillId="0" borderId="0" xfId="254" applyNumberFormat="1" applyFont="1" applyFill="1" applyBorder="1"/>
    <xf numFmtId="0" fontId="30" fillId="0" borderId="0" xfId="254" applyFont="1" applyFill="1" applyAlignment="1">
      <alignment horizontal="left"/>
    </xf>
    <xf numFmtId="0" fontId="33" fillId="0" borderId="0" xfId="254" applyFont="1" applyFill="1" applyBorder="1"/>
    <xf numFmtId="0" fontId="30" fillId="0" borderId="0" xfId="254" applyFont="1" applyFill="1" applyAlignment="1">
      <alignment horizontal="center"/>
    </xf>
    <xf numFmtId="0" fontId="14" fillId="0" borderId="0" xfId="254" applyFont="1" applyFill="1" applyAlignment="1">
      <alignment horizontal="center"/>
    </xf>
    <xf numFmtId="173" fontId="30" fillId="0" borderId="0" xfId="254" applyNumberFormat="1" applyFont="1" applyFill="1"/>
    <xf numFmtId="173" fontId="30" fillId="0" borderId="0" xfId="254" applyNumberFormat="1" applyFont="1" applyFill="1" applyBorder="1" applyAlignment="1">
      <alignment vertical="top"/>
    </xf>
    <xf numFmtId="41" fontId="30" fillId="0" borderId="13" xfId="254" applyNumberFormat="1" applyFont="1" applyFill="1" applyBorder="1"/>
    <xf numFmtId="173" fontId="10" fillId="0" borderId="0" xfId="86" applyNumberFormat="1" applyFont="1" applyFill="1" applyAlignment="1">
      <alignment horizontal="center"/>
    </xf>
    <xf numFmtId="0" fontId="9" fillId="0" borderId="0" xfId="254" applyFont="1" applyFill="1" applyAlignment="1">
      <alignment horizontal="center"/>
    </xf>
    <xf numFmtId="0" fontId="34" fillId="0" borderId="0" xfId="254" applyFont="1" applyFill="1" applyBorder="1"/>
    <xf numFmtId="0" fontId="14" fillId="0" borderId="0" xfId="254" applyFont="1" applyAlignment="1">
      <alignment horizontal="center"/>
    </xf>
    <xf numFmtId="41" fontId="9" fillId="0" borderId="13" xfId="254"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54" applyNumberFormat="1" applyFont="1" applyFill="1"/>
    <xf numFmtId="3" fontId="9" fillId="0" borderId="0" xfId="0" applyNumberFormat="1" applyFont="1" applyFill="1" applyAlignment="1"/>
    <xf numFmtId="41" fontId="31" fillId="25" borderId="0" xfId="254" applyNumberFormat="1" applyFont="1" applyFill="1" applyBorder="1"/>
    <xf numFmtId="0" fontId="11" fillId="0" borderId="0" xfId="215" applyFont="1" applyFill="1" applyBorder="1" applyAlignment="1">
      <alignment horizontal="left"/>
    </xf>
    <xf numFmtId="0" fontId="16" fillId="0" borderId="0" xfId="215" applyFont="1" applyBorder="1" applyAlignment="1"/>
    <xf numFmtId="0" fontId="16" fillId="0" borderId="0" xfId="215" applyFont="1" applyBorder="1" applyAlignment="1">
      <alignment horizontal="center"/>
    </xf>
    <xf numFmtId="0" fontId="16" fillId="0" borderId="0" xfId="215" applyFont="1" applyBorder="1"/>
    <xf numFmtId="0" fontId="16" fillId="0" borderId="0" xfId="215" applyNumberFormat="1" applyFont="1" applyFill="1" applyBorder="1" applyAlignment="1">
      <alignment horizontal="left"/>
    </xf>
    <xf numFmtId="0" fontId="13" fillId="0" borderId="0" xfId="215" applyNumberFormat="1" applyFont="1" applyFill="1" applyBorder="1" applyAlignment="1">
      <alignment horizontal="left"/>
    </xf>
    <xf numFmtId="0" fontId="16" fillId="0" borderId="0" xfId="215" applyFont="1" applyFill="1" applyBorder="1" applyAlignment="1">
      <alignment horizontal="center" wrapText="1"/>
    </xf>
    <xf numFmtId="3" fontId="16" fillId="0" borderId="0" xfId="215" applyNumberFormat="1" applyFont="1" applyFill="1" applyBorder="1" applyAlignment="1"/>
    <xf numFmtId="0" fontId="16" fillId="0" borderId="0" xfId="215" applyFont="1" applyFill="1" applyBorder="1" applyAlignment="1"/>
    <xf numFmtId="0" fontId="16" fillId="0" borderId="0" xfId="215"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15" applyFont="1" applyFill="1" applyBorder="1" applyAlignment="1"/>
    <xf numFmtId="0" fontId="16" fillId="0" borderId="0" xfId="215" applyFont="1" applyFill="1" applyBorder="1"/>
    <xf numFmtId="0" fontId="13" fillId="0" borderId="0" xfId="215" applyFont="1" applyBorder="1" applyAlignment="1"/>
    <xf numFmtId="0" fontId="13" fillId="0" borderId="0" xfId="215" applyNumberFormat="1" applyFont="1" applyFill="1" applyBorder="1" applyAlignment="1">
      <alignment horizontal="center"/>
    </xf>
    <xf numFmtId="164" fontId="16" fillId="0" borderId="0" xfId="275" applyNumberFormat="1" applyFont="1" applyFill="1" applyBorder="1" applyAlignment="1"/>
    <xf numFmtId="173" fontId="16" fillId="0" borderId="0" xfId="89" applyNumberFormat="1" applyFont="1" applyFill="1" applyBorder="1" applyAlignment="1">
      <alignment horizontal="left"/>
    </xf>
    <xf numFmtId="0" fontId="16" fillId="0" borderId="0" xfId="215" applyFont="1" applyFill="1" applyBorder="1" applyAlignment="1">
      <alignment horizontal="center"/>
    </xf>
    <xf numFmtId="3" fontId="16" fillId="0" borderId="0" xfId="215" applyNumberFormat="1" applyFont="1" applyFill="1" applyBorder="1" applyAlignment="1">
      <alignment horizontal="right"/>
    </xf>
    <xf numFmtId="3" fontId="16" fillId="0" borderId="0" xfId="215"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54" applyFont="1" applyFill="1"/>
    <xf numFmtId="0" fontId="21" fillId="0" borderId="0" xfId="215" applyFont="1" applyFill="1" applyBorder="1" applyAlignment="1">
      <alignment horizontal="left"/>
    </xf>
    <xf numFmtId="0" fontId="13" fillId="0" borderId="0" xfId="215" applyFont="1" applyFill="1" applyBorder="1" applyAlignment="1">
      <alignment horizontal="left"/>
    </xf>
    <xf numFmtId="0" fontId="13" fillId="0" borderId="0" xfId="215" applyFont="1" applyFill="1" applyBorder="1" applyAlignment="1">
      <alignment horizontal="center"/>
    </xf>
    <xf numFmtId="173" fontId="16" fillId="0" borderId="14" xfId="89" applyNumberFormat="1" applyFont="1" applyFill="1" applyBorder="1" applyAlignment="1">
      <alignment horizontal="right"/>
    </xf>
    <xf numFmtId="0" fontId="13" fillId="0" borderId="0" xfId="215" applyFont="1" applyBorder="1" applyAlignment="1">
      <alignment horizontal="center"/>
    </xf>
    <xf numFmtId="0" fontId="16" fillId="0" borderId="0" xfId="254" applyFont="1" applyAlignment="1">
      <alignment horizontal="center"/>
    </xf>
    <xf numFmtId="0" fontId="9" fillId="0" borderId="0" xfId="215" applyFont="1" applyBorder="1" applyAlignment="1">
      <alignment horizontal="center"/>
    </xf>
    <xf numFmtId="49" fontId="9" fillId="0" borderId="0" xfId="254" applyNumberFormat="1" applyFont="1" applyAlignment="1">
      <alignment horizontal="center"/>
    </xf>
    <xf numFmtId="0" fontId="0" fillId="0" borderId="0" xfId="0" applyAlignment="1">
      <alignment horizontal="right"/>
    </xf>
    <xf numFmtId="0" fontId="13" fillId="0" borderId="0" xfId="215" applyFont="1" applyBorder="1"/>
    <xf numFmtId="3" fontId="14" fillId="0" borderId="0" xfId="0" applyNumberFormat="1" applyFont="1" applyFill="1" applyAlignment="1">
      <alignment horizontal="center"/>
    </xf>
    <xf numFmtId="173" fontId="6" fillId="0" borderId="0" xfId="86" applyNumberFormat="1"/>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73" fontId="6" fillId="0" borderId="0" xfId="86" applyNumberFormat="1" applyFill="1"/>
    <xf numFmtId="10" fontId="0" fillId="0" borderId="0" xfId="0" applyNumberFormat="1"/>
    <xf numFmtId="185" fontId="22" fillId="0" borderId="0" xfId="265" applyNumberFormat="1" applyFont="1"/>
    <xf numFmtId="0" fontId="75" fillId="0" borderId="0" xfId="265" applyFont="1"/>
    <xf numFmtId="185" fontId="22" fillId="0" borderId="0" xfId="265" applyNumberFormat="1" applyFont="1" applyAlignment="1">
      <alignment horizontal="center"/>
    </xf>
    <xf numFmtId="0" fontId="16" fillId="0" borderId="0" xfId="265" applyFont="1"/>
    <xf numFmtId="0" fontId="22" fillId="0" borderId="0" xfId="265" applyFont="1"/>
    <xf numFmtId="0" fontId="22" fillId="0" borderId="0" xfId="265" applyNumberFormat="1" applyFont="1" applyAlignment="1">
      <alignment horizontal="center"/>
    </xf>
    <xf numFmtId="0" fontId="22" fillId="0" borderId="0" xfId="265" applyNumberFormat="1" applyFont="1"/>
    <xf numFmtId="0" fontId="22" fillId="0" borderId="0" xfId="265" applyNumberFormat="1" applyFont="1" applyBorder="1" applyAlignment="1">
      <alignment horizontal="center"/>
    </xf>
    <xf numFmtId="185" fontId="76" fillId="0" borderId="0" xfId="265" applyNumberFormat="1" applyFont="1"/>
    <xf numFmtId="0" fontId="77" fillId="0" borderId="0" xfId="265" applyFont="1"/>
    <xf numFmtId="173" fontId="75" fillId="0" borderId="0" xfId="265" applyNumberFormat="1" applyFont="1"/>
    <xf numFmtId="0" fontId="78" fillId="0" borderId="0" xfId="265" applyFont="1"/>
    <xf numFmtId="185" fontId="16" fillId="0" borderId="0" xfId="265" applyNumberFormat="1" applyFont="1"/>
    <xf numFmtId="0" fontId="79" fillId="0" borderId="0" xfId="261" applyFont="1" applyFill="1" applyAlignment="1">
      <alignment horizontal="center"/>
    </xf>
    <xf numFmtId="0" fontId="79" fillId="0" borderId="0" xfId="261" applyFont="1" applyFill="1" applyAlignment="1">
      <alignment horizontal="left" indent="2"/>
    </xf>
    <xf numFmtId="39" fontId="79" fillId="0" borderId="0" xfId="261" applyNumberFormat="1" applyFont="1" applyFill="1"/>
    <xf numFmtId="0" fontId="75" fillId="0" borderId="0" xfId="265" applyFont="1" applyFill="1"/>
    <xf numFmtId="0" fontId="16" fillId="0" borderId="0" xfId="265" applyNumberFormat="1" applyFont="1" applyAlignment="1">
      <alignment horizontal="center"/>
    </xf>
    <xf numFmtId="0" fontId="16" fillId="0" borderId="0" xfId="265" applyNumberFormat="1" applyFont="1"/>
    <xf numFmtId="185" fontId="9" fillId="0" borderId="0" xfId="265" applyNumberFormat="1" applyFont="1"/>
    <xf numFmtId="43" fontId="9" fillId="0" borderId="0" xfId="86" applyFont="1"/>
    <xf numFmtId="173" fontId="9" fillId="0" borderId="0" xfId="86" applyNumberFormat="1" applyFont="1"/>
    <xf numFmtId="173" fontId="75" fillId="0" borderId="14" xfId="86" applyNumberFormat="1" applyFont="1" applyBorder="1"/>
    <xf numFmtId="0" fontId="75" fillId="0" borderId="0" xfId="0" applyFont="1"/>
    <xf numFmtId="173" fontId="75" fillId="0" borderId="0" xfId="265" applyNumberFormat="1" applyFont="1" applyBorder="1"/>
    <xf numFmtId="173" fontId="0" fillId="0" borderId="0" xfId="86" applyNumberFormat="1" applyFont="1" applyFill="1"/>
    <xf numFmtId="173" fontId="0" fillId="0" borderId="0" xfId="0" applyNumberFormat="1"/>
    <xf numFmtId="41" fontId="16" fillId="0" borderId="0" xfId="254" applyNumberFormat="1" applyFont="1"/>
    <xf numFmtId="173" fontId="16" fillId="0" borderId="0" xfId="86" applyNumberFormat="1" applyFont="1" applyFill="1"/>
    <xf numFmtId="0" fontId="13" fillId="0" borderId="0" xfId="254" applyFont="1" applyAlignment="1">
      <alignment horizontal="center" wrapText="1"/>
    </xf>
    <xf numFmtId="38" fontId="16" fillId="0" borderId="0" xfId="0" applyNumberFormat="1" applyFont="1" applyFill="1" applyBorder="1" applyAlignment="1">
      <alignment horizontal="center"/>
    </xf>
    <xf numFmtId="0" fontId="6" fillId="0" borderId="0" xfId="254" applyFill="1" applyAlignment="1">
      <alignment horizontal="left"/>
    </xf>
    <xf numFmtId="0" fontId="82" fillId="0" borderId="0" xfId="254" applyFont="1" applyFill="1" applyBorder="1" applyAlignment="1">
      <alignment horizontal="left"/>
    </xf>
    <xf numFmtId="0" fontId="6" fillId="0" borderId="0" xfId="254" applyFill="1"/>
    <xf numFmtId="0" fontId="82" fillId="0" borderId="0" xfId="254" applyFont="1" applyFill="1" applyBorder="1"/>
    <xf numFmtId="0" fontId="73" fillId="0" borderId="0" xfId="254" applyFont="1" applyFill="1" applyAlignment="1">
      <alignment horizontal="center"/>
    </xf>
    <xf numFmtId="38" fontId="16" fillId="0" borderId="15" xfId="0" applyNumberFormat="1" applyFont="1" applyFill="1" applyBorder="1"/>
    <xf numFmtId="38" fontId="16" fillId="0" borderId="0" xfId="0" applyNumberFormat="1" applyFont="1" applyFill="1" applyBorder="1"/>
    <xf numFmtId="0" fontId="83" fillId="0" borderId="0" xfId="215" applyNumberFormat="1" applyFont="1" applyFill="1" applyBorder="1" applyAlignment="1">
      <alignment horizontal="left"/>
    </xf>
    <xf numFmtId="38" fontId="16" fillId="0" borderId="0" xfId="215" applyNumberFormat="1" applyFont="1" applyFill="1" applyBorder="1" applyAlignment="1">
      <alignment horizontal="right"/>
    </xf>
    <xf numFmtId="0" fontId="16" fillId="0" borderId="0" xfId="215"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15" applyFont="1" applyBorder="1" applyAlignment="1">
      <alignment horizontal="center"/>
    </xf>
    <xf numFmtId="38" fontId="12" fillId="0" borderId="0" xfId="215" applyNumberFormat="1" applyFont="1" applyFill="1" applyBorder="1" applyAlignment="1"/>
    <xf numFmtId="173" fontId="12" fillId="0" borderId="14" xfId="86" applyNumberFormat="1" applyFont="1" applyFill="1" applyBorder="1" applyAlignment="1"/>
    <xf numFmtId="0" fontId="16" fillId="0" borderId="14" xfId="215" applyNumberFormat="1" applyFont="1" applyFill="1" applyBorder="1" applyAlignment="1">
      <alignment horizontal="left"/>
    </xf>
    <xf numFmtId="0" fontId="22" fillId="0" borderId="0" xfId="265" applyNumberFormat="1" applyFont="1" applyFill="1" applyAlignment="1">
      <alignment horizontal="center"/>
    </xf>
    <xf numFmtId="0" fontId="16" fillId="0" borderId="0" xfId="265" applyNumberFormat="1" applyFont="1" applyFill="1"/>
    <xf numFmtId="41" fontId="75" fillId="0" borderId="0" xfId="265" applyNumberFormat="1" applyFont="1" applyFill="1" applyBorder="1"/>
    <xf numFmtId="173" fontId="75" fillId="0" borderId="0" xfId="265" applyNumberFormat="1" applyFont="1" applyFill="1"/>
    <xf numFmtId="173" fontId="75" fillId="0" borderId="0" xfId="86" applyNumberFormat="1" applyFont="1" applyFill="1"/>
    <xf numFmtId="3" fontId="8" fillId="0" borderId="0" xfId="0" applyNumberFormat="1" applyFont="1" applyAlignment="1">
      <alignment horizontal="center"/>
    </xf>
    <xf numFmtId="10" fontId="16" fillId="0" borderId="0" xfId="273"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73" applyNumberFormat="1" applyFont="1"/>
    <xf numFmtId="174" fontId="6" fillId="0" borderId="0" xfId="119" applyNumberFormat="1"/>
    <xf numFmtId="0" fontId="8" fillId="0" borderId="0" xfId="0" applyFont="1" applyAlignment="1">
      <alignment horizontal="right"/>
    </xf>
    <xf numFmtId="0" fontId="16" fillId="0" borderId="0" xfId="0" applyFont="1" applyAlignment="1">
      <alignment horizontal="centerContinuous"/>
    </xf>
    <xf numFmtId="0" fontId="21" fillId="0" borderId="0" xfId="0" applyFont="1" applyAlignment="1">
      <alignment horizontal="center"/>
    </xf>
    <xf numFmtId="0" fontId="13"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1" fillId="0" borderId="0" xfId="0" applyFont="1" applyAlignment="1">
      <alignment horizontal="left"/>
    </xf>
    <xf numFmtId="0" fontId="8" fillId="0" borderId="0" xfId="0" applyFont="1" applyAlignment="1">
      <alignment horizontal="left"/>
    </xf>
    <xf numFmtId="0" fontId="21"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9" fillId="0" borderId="0" xfId="254" applyFont="1"/>
    <xf numFmtId="0" fontId="6" fillId="0" borderId="0" xfId="254" applyAlignment="1">
      <alignment horizontal="left"/>
    </xf>
    <xf numFmtId="0" fontId="6" fillId="0" borderId="0" xfId="254"/>
    <xf numFmtId="0" fontId="19" fillId="0" borderId="0" xfId="254" applyFont="1" applyAlignment="1">
      <alignment horizontal="left"/>
    </xf>
    <xf numFmtId="173" fontId="16" fillId="0" borderId="0" xfId="215" applyNumberFormat="1" applyFont="1" applyFill="1" applyBorder="1"/>
    <xf numFmtId="0" fontId="16" fillId="25" borderId="0" xfId="215" applyNumberFormat="1" applyFont="1" applyFill="1" applyBorder="1" applyAlignment="1">
      <alignment horizontal="center"/>
    </xf>
    <xf numFmtId="0" fontId="13" fillId="25" borderId="0" xfId="215" applyNumberFormat="1" applyFont="1" applyFill="1" applyBorder="1" applyAlignment="1">
      <alignment horizontal="left"/>
    </xf>
    <xf numFmtId="0" fontId="12" fillId="25" borderId="0" xfId="215" applyFont="1" applyFill="1" applyBorder="1" applyAlignment="1"/>
    <xf numFmtId="0" fontId="16" fillId="25" borderId="0" xfId="215" applyNumberFormat="1" applyFont="1" applyFill="1" applyBorder="1" applyAlignment="1">
      <alignment horizontal="left"/>
    </xf>
    <xf numFmtId="0" fontId="16" fillId="25" borderId="0" xfId="215"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75" applyNumberFormat="1" applyFont="1" applyFill="1" applyBorder="1" applyAlignment="1"/>
    <xf numFmtId="173" fontId="16" fillId="25" borderId="0" xfId="89" applyNumberFormat="1" applyFont="1" applyFill="1" applyBorder="1" applyAlignment="1">
      <alignment horizontal="left"/>
    </xf>
    <xf numFmtId="0" fontId="19" fillId="0" borderId="0" xfId="254" applyFont="1" applyAlignment="1"/>
    <xf numFmtId="0" fontId="17" fillId="0" borderId="0" xfId="0" applyFont="1" applyBorder="1"/>
    <xf numFmtId="0" fontId="21" fillId="0" borderId="0" xfId="215" applyFont="1" applyFill="1" applyBorder="1" applyAlignment="1">
      <alignment horizontal="center"/>
    </xf>
    <xf numFmtId="0" fontId="17" fillId="0" borderId="0" xfId="215"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54" applyFont="1" applyFill="1"/>
    <xf numFmtId="0" fontId="85" fillId="0" borderId="0" xfId="254" applyFont="1" applyFill="1"/>
    <xf numFmtId="9" fontId="14" fillId="0" borderId="0" xfId="254" quotePrefix="1" applyNumberFormat="1" applyFont="1" applyFill="1" applyAlignment="1">
      <alignment horizontal="center"/>
    </xf>
    <xf numFmtId="0" fontId="8" fillId="0" borderId="0" xfId="265" applyNumberFormat="1" applyFont="1" applyAlignment="1">
      <alignment horizontal="center"/>
    </xf>
    <xf numFmtId="0" fontId="8" fillId="0" borderId="0" xfId="265" applyNumberFormat="1" applyFont="1"/>
    <xf numFmtId="185" fontId="8" fillId="0" borderId="0" xfId="265" applyNumberFormat="1" applyFont="1" applyAlignment="1">
      <alignment horizontal="center"/>
    </xf>
    <xf numFmtId="0" fontId="13" fillId="0" borderId="0" xfId="265" applyFont="1"/>
    <xf numFmtId="0" fontId="8" fillId="0" borderId="11" xfId="265" applyNumberFormat="1" applyFont="1" applyBorder="1" applyAlignment="1">
      <alignment horizontal="center"/>
    </xf>
    <xf numFmtId="185" fontId="8" fillId="0" borderId="11" xfId="265" applyNumberFormat="1" applyFont="1" applyBorder="1" applyAlignment="1">
      <alignment horizontal="center"/>
    </xf>
    <xf numFmtId="0" fontId="78" fillId="0" borderId="11" xfId="265" applyFont="1" applyBorder="1" applyAlignment="1">
      <alignment horizontal="center"/>
    </xf>
    <xf numFmtId="0" fontId="13" fillId="0" borderId="0" xfId="265" applyFont="1" applyAlignment="1">
      <alignment horizontal="center"/>
    </xf>
    <xf numFmtId="6" fontId="16" fillId="0" borderId="0" xfId="0" applyNumberFormat="1" applyFont="1" applyAlignment="1">
      <alignment horizontal="right"/>
    </xf>
    <xf numFmtId="0" fontId="13" fillId="0" borderId="0" xfId="0" applyFont="1" applyAlignment="1">
      <alignment horizontal="left"/>
    </xf>
    <xf numFmtId="173" fontId="87" fillId="0" borderId="0" xfId="86" applyNumberFormat="1" applyFont="1" applyFill="1"/>
    <xf numFmtId="173" fontId="75" fillId="0" borderId="0" xfId="86" applyNumberFormat="1" applyFont="1" applyFill="1" applyBorder="1"/>
    <xf numFmtId="0" fontId="91" fillId="0" borderId="0" xfId="0" applyFont="1" applyBorder="1" applyAlignment="1">
      <alignment horizontal="center"/>
    </xf>
    <xf numFmtId="0" fontId="90" fillId="0" borderId="0" xfId="254" applyFont="1" applyFill="1" applyAlignment="1">
      <alignment horizontal="center"/>
    </xf>
    <xf numFmtId="0" fontId="9" fillId="0" borderId="0" xfId="265" applyFont="1"/>
    <xf numFmtId="173" fontId="9" fillId="0" borderId="0" xfId="265" applyNumberFormat="1" applyFont="1"/>
    <xf numFmtId="164" fontId="0" fillId="0" borderId="0" xfId="273" applyNumberFormat="1" applyFont="1"/>
    <xf numFmtId="173" fontId="94" fillId="0" borderId="0" xfId="265" applyNumberFormat="1" applyFont="1" applyFill="1" applyBorder="1"/>
    <xf numFmtId="0" fontId="27" fillId="0" borderId="0" xfId="254" applyFont="1" applyFill="1" applyAlignment="1">
      <alignment horizontal="center"/>
    </xf>
    <xf numFmtId="37" fontId="16" fillId="0" borderId="15" xfId="0" applyNumberFormat="1" applyFont="1" applyFill="1" applyBorder="1"/>
    <xf numFmtId="37" fontId="16" fillId="0" borderId="0" xfId="215" applyNumberFormat="1" applyFont="1" applyFill="1" applyBorder="1" applyAlignment="1">
      <alignment horizontal="right"/>
    </xf>
    <xf numFmtId="37" fontId="12" fillId="0" borderId="0" xfId="215" applyNumberFormat="1" applyFont="1" applyFill="1" applyBorder="1" applyAlignment="1"/>
    <xf numFmtId="0" fontId="97" fillId="0" borderId="0" xfId="254"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73" applyFont="1"/>
    <xf numFmtId="0" fontId="99" fillId="0" borderId="0" xfId="0" applyFont="1" applyAlignment="1">
      <alignment horizontal="center" wrapText="1"/>
    </xf>
    <xf numFmtId="0" fontId="22" fillId="0" borderId="0" xfId="261" applyFont="1" applyFill="1" applyAlignment="1">
      <alignment horizontal="center"/>
    </xf>
    <xf numFmtId="0" fontId="36" fillId="0" borderId="0" xfId="254" applyFont="1" applyFill="1" applyAlignment="1">
      <alignment horizontal="left"/>
    </xf>
    <xf numFmtId="0" fontId="36" fillId="0" borderId="0" xfId="254" applyFont="1" applyFill="1"/>
    <xf numFmtId="0" fontId="101" fillId="0" borderId="0" xfId="254" applyFont="1" applyFill="1" applyAlignment="1">
      <alignment horizontal="center"/>
    </xf>
    <xf numFmtId="0" fontId="102" fillId="0" borderId="0" xfId="254" applyFont="1" applyFill="1" applyBorder="1"/>
    <xf numFmtId="190" fontId="103" fillId="0" borderId="0" xfId="215"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15" applyNumberFormat="1" applyFont="1" applyBorder="1" applyAlignment="1">
      <alignment horizontal="center"/>
    </xf>
    <xf numFmtId="0" fontId="0" fillId="0" borderId="0" xfId="0" applyFill="1" applyAlignment="1"/>
    <xf numFmtId="0" fontId="16" fillId="0" borderId="0" xfId="0" applyFont="1" applyFill="1" applyAlignment="1">
      <alignment horizontal="centerContinuous"/>
    </xf>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54" applyFont="1" applyFill="1" applyBorder="1" applyAlignment="1">
      <alignment horizontal="center"/>
    </xf>
    <xf numFmtId="0" fontId="9" fillId="0" borderId="0" xfId="0" applyFont="1" applyBorder="1" applyAlignment="1">
      <alignment horizontal="center"/>
    </xf>
    <xf numFmtId="0" fontId="8" fillId="0" borderId="0" xfId="265" applyNumberFormat="1" applyFont="1" applyBorder="1" applyAlignment="1">
      <alignment horizontal="center"/>
    </xf>
    <xf numFmtId="0" fontId="16" fillId="0" borderId="0" xfId="265" applyFont="1" applyBorder="1"/>
    <xf numFmtId="0" fontId="8" fillId="0" borderId="11" xfId="265" applyNumberFormat="1" applyFont="1" applyBorder="1"/>
    <xf numFmtId="185" fontId="8" fillId="0" borderId="0" xfId="265" applyNumberFormat="1" applyFont="1" applyBorder="1" applyAlignment="1">
      <alignment horizontal="center"/>
    </xf>
    <xf numFmtId="0" fontId="16" fillId="0" borderId="0" xfId="265" applyFont="1" applyFill="1"/>
    <xf numFmtId="0" fontId="75" fillId="0" borderId="0" xfId="265" applyFont="1" applyAlignment="1">
      <alignment horizontal="center"/>
    </xf>
    <xf numFmtId="173" fontId="81" fillId="0" borderId="0" xfId="265" applyNumberFormat="1" applyFont="1" applyFill="1" applyBorder="1"/>
    <xf numFmtId="0" fontId="22" fillId="0" borderId="0" xfId="265" applyFont="1" applyFill="1"/>
    <xf numFmtId="3" fontId="81" fillId="0" borderId="0" xfId="265" applyNumberFormat="1" applyFont="1" applyFill="1" applyBorder="1"/>
    <xf numFmtId="173" fontId="81" fillId="0" borderId="0" xfId="265" applyNumberFormat="1" applyFont="1" applyFill="1"/>
    <xf numFmtId="0" fontId="0" fillId="0" borderId="0" xfId="0" applyBorder="1" applyAlignment="1">
      <alignment horizontal="center"/>
    </xf>
    <xf numFmtId="0" fontId="75" fillId="0" borderId="0" xfId="265" applyFont="1" applyFill="1" applyBorder="1"/>
    <xf numFmtId="173" fontId="75" fillId="0" borderId="0" xfId="265" applyNumberFormat="1" applyFont="1" applyFill="1" applyBorder="1"/>
    <xf numFmtId="0" fontId="26" fillId="0" borderId="0" xfId="254" applyFont="1" applyFill="1" applyBorder="1"/>
    <xf numFmtId="38" fontId="30" fillId="0" borderId="13" xfId="254" applyNumberFormat="1" applyFont="1" applyFill="1" applyBorder="1" applyAlignment="1">
      <alignment horizontal="right"/>
    </xf>
    <xf numFmtId="0" fontId="36" fillId="0" borderId="0" xfId="254" applyFont="1" applyAlignment="1">
      <alignment horizontal="center"/>
    </xf>
    <xf numFmtId="0" fontId="79" fillId="0" borderId="0" xfId="265" applyNumberFormat="1" applyFont="1" applyFill="1"/>
    <xf numFmtId="10" fontId="7" fillId="0" borderId="0" xfId="266" applyNumberFormat="1" applyProtection="1"/>
    <xf numFmtId="10" fontId="7" fillId="0" borderId="16" xfId="266" applyNumberFormat="1" applyBorder="1" applyProtection="1"/>
    <xf numFmtId="194" fontId="7" fillId="0" borderId="16" xfId="266" applyNumberFormat="1" applyBorder="1" applyProtection="1"/>
    <xf numFmtId="176" fontId="7" fillId="0" borderId="16" xfId="266" applyNumberFormat="1" applyBorder="1" applyProtection="1"/>
    <xf numFmtId="193" fontId="7" fillId="0" borderId="16" xfId="266" applyNumberFormat="1" applyBorder="1" applyProtection="1"/>
    <xf numFmtId="196" fontId="7" fillId="0" borderId="0" xfId="266" applyNumberFormat="1" applyProtection="1"/>
    <xf numFmtId="176" fontId="7" fillId="0" borderId="0" xfId="266" applyNumberFormat="1" applyProtection="1"/>
    <xf numFmtId="193" fontId="7" fillId="0" borderId="0" xfId="266" applyNumberFormat="1" applyProtection="1"/>
    <xf numFmtId="10" fontId="116" fillId="0" borderId="0" xfId="266" applyNumberFormat="1" applyFont="1" applyProtection="1"/>
    <xf numFmtId="173" fontId="119" fillId="0" borderId="0" xfId="0" applyNumberFormat="1" applyFont="1"/>
    <xf numFmtId="0" fontId="106" fillId="0" borderId="0" xfId="215" applyFont="1" applyFill="1" applyBorder="1" applyAlignment="1">
      <alignment horizontal="center"/>
    </xf>
    <xf numFmtId="0" fontId="99" fillId="0" borderId="0" xfId="215" applyFont="1" applyFill="1" applyBorder="1" applyAlignment="1">
      <alignment horizontal="left"/>
    </xf>
    <xf numFmtId="0" fontId="36" fillId="0" borderId="0" xfId="215" applyNumberFormat="1" applyFont="1" applyFill="1" applyBorder="1" applyAlignment="1">
      <alignment horizontal="center"/>
    </xf>
    <xf numFmtId="0" fontId="36" fillId="0" borderId="0" xfId="215" applyNumberFormat="1" applyFont="1" applyFill="1" applyBorder="1" applyAlignment="1">
      <alignment horizontal="left"/>
    </xf>
    <xf numFmtId="0" fontId="36" fillId="0" borderId="0" xfId="215" applyFont="1" applyFill="1" applyBorder="1" applyAlignment="1"/>
    <xf numFmtId="0" fontId="36" fillId="0" borderId="0" xfId="215" applyFont="1" applyFill="1" applyBorder="1" applyAlignment="1">
      <alignment horizontal="center"/>
    </xf>
    <xf numFmtId="0" fontId="36" fillId="0" borderId="0" xfId="215" applyFont="1" applyBorder="1"/>
    <xf numFmtId="0" fontId="36" fillId="0" borderId="0" xfId="215" applyFont="1" applyFill="1" applyBorder="1"/>
    <xf numFmtId="3" fontId="36" fillId="0" borderId="0" xfId="215" applyNumberFormat="1" applyFont="1" applyFill="1" applyBorder="1" applyAlignment="1"/>
    <xf numFmtId="0" fontId="106" fillId="0" borderId="0" xfId="215" applyFont="1" applyFill="1" applyBorder="1"/>
    <xf numFmtId="38" fontId="16" fillId="0" borderId="0" xfId="0" applyNumberFormat="1" applyFont="1" applyBorder="1"/>
    <xf numFmtId="0" fontId="36" fillId="0" borderId="0" xfId="254" applyFont="1" applyFill="1" applyBorder="1"/>
    <xf numFmtId="0" fontId="118" fillId="0" borderId="0" xfId="254" applyFont="1" applyFill="1" applyAlignment="1">
      <alignment horizontal="center"/>
    </xf>
    <xf numFmtId="0" fontId="16" fillId="0" borderId="0" xfId="254" applyFont="1" applyFill="1" applyBorder="1"/>
    <xf numFmtId="0" fontId="99" fillId="0" borderId="0" xfId="0" applyFont="1" applyAlignment="1">
      <alignment horizontal="center"/>
    </xf>
    <xf numFmtId="41" fontId="0" fillId="0" borderId="0" xfId="0" applyNumberFormat="1" applyFill="1"/>
    <xf numFmtId="37" fontId="120"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54" applyNumberFormat="1" applyFont="1" applyFill="1" applyBorder="1"/>
    <xf numFmtId="3" fontId="23" fillId="30" borderId="0" xfId="0" applyNumberFormat="1" applyFont="1" applyFill="1" applyAlignment="1"/>
    <xf numFmtId="3" fontId="23" fillId="30" borderId="0" xfId="0" applyNumberFormat="1" applyFont="1" applyFill="1" applyBorder="1" applyAlignment="1"/>
    <xf numFmtId="173" fontId="81" fillId="30" borderId="0" xfId="265" applyNumberFormat="1" applyFont="1" applyFill="1" applyBorder="1"/>
    <xf numFmtId="0" fontId="75" fillId="30" borderId="0" xfId="265" applyFont="1" applyFill="1" applyAlignment="1">
      <alignment horizontal="center"/>
    </xf>
    <xf numFmtId="174" fontId="0" fillId="0" borderId="0" xfId="119" applyNumberFormat="1" applyFont="1"/>
    <xf numFmtId="0" fontId="16" fillId="0" borderId="0" xfId="254" applyFont="1" applyFill="1" applyAlignment="1">
      <alignment horizontal="center"/>
    </xf>
    <xf numFmtId="3" fontId="36" fillId="30" borderId="0" xfId="215" applyNumberFormat="1" applyFont="1" applyFill="1" applyBorder="1" applyAlignment="1"/>
    <xf numFmtId="174" fontId="0" fillId="0" borderId="0" xfId="0" applyNumberFormat="1" applyBorder="1"/>
    <xf numFmtId="6" fontId="16" fillId="0" borderId="0" xfId="0" applyNumberFormat="1" applyFont="1" applyBorder="1" applyAlignment="1">
      <alignment horizontal="right"/>
    </xf>
    <xf numFmtId="0" fontId="78" fillId="0" borderId="0" xfId="265" applyFont="1" applyFill="1"/>
    <xf numFmtId="0" fontId="75" fillId="30" borderId="0" xfId="265" applyFont="1" applyFill="1"/>
    <xf numFmtId="10" fontId="7" fillId="0" borderId="0" xfId="266" applyNumberFormat="1" applyBorder="1" applyProtection="1"/>
    <xf numFmtId="194" fontId="7" fillId="0" borderId="0" xfId="266" applyNumberFormat="1" applyBorder="1" applyProtection="1"/>
    <xf numFmtId="193" fontId="7" fillId="0" borderId="0" xfId="266" applyNumberFormat="1" applyBorder="1" applyProtection="1"/>
    <xf numFmtId="176" fontId="7" fillId="0" borderId="0" xfId="266" applyNumberFormat="1" applyBorder="1" applyProtection="1"/>
    <xf numFmtId="172" fontId="7" fillId="0" borderId="0" xfId="264" applyFont="1" applyAlignment="1" applyProtection="1"/>
    <xf numFmtId="172" fontId="9" fillId="0" borderId="0" xfId="264" applyFont="1" applyAlignment="1" applyProtection="1"/>
    <xf numFmtId="0" fontId="0" fillId="0" borderId="0" xfId="0" applyBorder="1" applyProtection="1"/>
    <xf numFmtId="0" fontId="10" fillId="0" borderId="0" xfId="264" applyNumberFormat="1" applyFont="1" applyBorder="1" applyAlignment="1" applyProtection="1">
      <alignment horizontal="left"/>
    </xf>
    <xf numFmtId="14" fontId="10" fillId="0" borderId="0" xfId="264" applyNumberFormat="1" applyFont="1" applyBorder="1" applyAlignment="1" applyProtection="1"/>
    <xf numFmtId="172" fontId="10" fillId="0" borderId="0" xfId="264" applyFont="1" applyFill="1" applyAlignment="1" applyProtection="1"/>
    <xf numFmtId="172" fontId="9" fillId="0" borderId="0" xfId="264" applyFont="1" applyFill="1" applyAlignment="1" applyProtection="1"/>
    <xf numFmtId="0" fontId="9" fillId="0" borderId="0" xfId="264"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64" applyNumberFormat="1" applyFont="1" applyProtection="1"/>
    <xf numFmtId="0" fontId="9" fillId="0" borderId="0" xfId="264" applyNumberFormat="1" applyFont="1" applyAlignment="1" applyProtection="1">
      <alignment horizontal="right"/>
    </xf>
    <xf numFmtId="0" fontId="23" fillId="0" borderId="0" xfId="86" applyNumberFormat="1" applyFont="1" applyFill="1" applyAlignment="1" applyProtection="1"/>
    <xf numFmtId="3" fontId="9" fillId="0" borderId="0" xfId="264" applyNumberFormat="1" applyFont="1" applyAlignment="1" applyProtection="1"/>
    <xf numFmtId="3" fontId="9" fillId="0" borderId="0" xfId="0" applyNumberFormat="1" applyFont="1" applyAlignment="1" applyProtection="1">
      <alignment horizontal="center"/>
    </xf>
    <xf numFmtId="0" fontId="7" fillId="0" borderId="0" xfId="264" applyNumberFormat="1" applyFont="1" applyAlignment="1" applyProtection="1">
      <alignment horizontal="center"/>
    </xf>
    <xf numFmtId="0" fontId="9" fillId="0" borderId="0" xfId="264" applyNumberFormat="1" applyFont="1" applyAlignment="1" applyProtection="1">
      <alignment horizontal="center"/>
    </xf>
    <xf numFmtId="49" fontId="9" fillId="0" borderId="0" xfId="264"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64" applyNumberFormat="1" applyFont="1" applyProtection="1"/>
    <xf numFmtId="39" fontId="9" fillId="0" borderId="0" xfId="86" applyNumberFormat="1" applyFont="1" applyAlignment="1" applyProtection="1">
      <alignment horizontal="center"/>
    </xf>
    <xf numFmtId="0" fontId="7" fillId="0" borderId="6" xfId="264" applyNumberFormat="1" applyFont="1" applyBorder="1" applyAlignment="1" applyProtection="1">
      <alignment horizontal="center"/>
    </xf>
    <xf numFmtId="0" fontId="9" fillId="0" borderId="0" xfId="264" applyNumberFormat="1" applyFont="1" applyBorder="1" applyAlignment="1" applyProtection="1">
      <alignment horizontal="center"/>
    </xf>
    <xf numFmtId="0" fontId="9" fillId="0" borderId="6" xfId="264" applyNumberFormat="1" applyFont="1" applyBorder="1" applyAlignment="1" applyProtection="1">
      <alignment horizontal="center"/>
    </xf>
    <xf numFmtId="0" fontId="9" fillId="0" borderId="0" xfId="0" applyNumberFormat="1" applyFont="1" applyProtection="1"/>
    <xf numFmtId="0" fontId="9" fillId="0" borderId="0" xfId="264" applyNumberFormat="1" applyFont="1" applyFill="1" applyProtection="1"/>
    <xf numFmtId="3" fontId="9" fillId="0" borderId="0" xfId="264" applyNumberFormat="1" applyFont="1" applyProtection="1"/>
    <xf numFmtId="0" fontId="9" fillId="0" borderId="0" xfId="264" applyNumberFormat="1" applyFont="1" applyAlignment="1" applyProtection="1">
      <alignment horizontal="left"/>
    </xf>
    <xf numFmtId="170" fontId="9" fillId="0" borderId="0" xfId="264" applyNumberFormat="1" applyFont="1" applyProtection="1"/>
    <xf numFmtId="3" fontId="9" fillId="0" borderId="0" xfId="264" applyNumberFormat="1" applyFont="1" applyFill="1" applyAlignment="1" applyProtection="1">
      <alignment horizontal="left"/>
    </xf>
    <xf numFmtId="3" fontId="9" fillId="0" borderId="0" xfId="264" applyNumberFormat="1" applyFont="1" applyFill="1" applyAlignment="1" applyProtection="1"/>
    <xf numFmtId="0" fontId="9" fillId="0" borderId="6" xfId="264" applyNumberFormat="1" applyFont="1" applyBorder="1" applyAlignment="1" applyProtection="1">
      <alignment horizontal="centerContinuous"/>
    </xf>
    <xf numFmtId="0" fontId="9" fillId="0" borderId="0" xfId="0" applyNumberFormat="1" applyFont="1" applyAlignment="1" applyProtection="1"/>
    <xf numFmtId="41" fontId="9" fillId="0" borderId="0" xfId="264" applyNumberFormat="1" applyFont="1" applyFill="1" applyBorder="1" applyAlignment="1" applyProtection="1"/>
    <xf numFmtId="3" fontId="9" fillId="0" borderId="0" xfId="264" applyNumberFormat="1" applyFont="1" applyFill="1" applyAlignment="1" applyProtection="1">
      <alignment horizontal="center"/>
    </xf>
    <xf numFmtId="165" fontId="9" fillId="0" borderId="0" xfId="264" applyNumberFormat="1" applyFont="1" applyFill="1" applyAlignment="1" applyProtection="1">
      <alignment horizontal="right"/>
    </xf>
    <xf numFmtId="42" fontId="9" fillId="0" borderId="0" xfId="264" applyNumberFormat="1" applyFont="1" applyBorder="1" applyAlignment="1" applyProtection="1"/>
    <xf numFmtId="172" fontId="9" fillId="0" borderId="11" xfId="264" applyFont="1" applyBorder="1" applyAlignment="1" applyProtection="1"/>
    <xf numFmtId="172" fontId="9" fillId="0" borderId="0" xfId="264" applyFont="1" applyBorder="1" applyAlignment="1" applyProtection="1"/>
    <xf numFmtId="0" fontId="7" fillId="0" borderId="0" xfId="264" applyNumberFormat="1" applyFont="1" applyFill="1" applyAlignment="1" applyProtection="1">
      <alignment horizontal="center"/>
    </xf>
    <xf numFmtId="0" fontId="9" fillId="0" borderId="0" xfId="264"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64" applyNumberFormat="1" applyFont="1" applyAlignment="1" applyProtection="1">
      <alignment horizontal="left"/>
    </xf>
    <xf numFmtId="3" fontId="9" fillId="0" borderId="0" xfId="264" applyNumberFormat="1" applyFont="1" applyAlignment="1" applyProtection="1">
      <alignment horizontal="center"/>
    </xf>
    <xf numFmtId="174" fontId="9" fillId="0" borderId="14" xfId="264" applyNumberFormat="1" applyFont="1" applyBorder="1" applyAlignment="1" applyProtection="1"/>
    <xf numFmtId="42" fontId="9" fillId="0" borderId="0" xfId="264" applyNumberFormat="1" applyFont="1" applyAlignment="1" applyProtection="1"/>
    <xf numFmtId="172" fontId="80" fillId="0" borderId="0" xfId="264" applyFont="1" applyAlignment="1" applyProtection="1">
      <alignment horizontal="center" wrapText="1"/>
    </xf>
    <xf numFmtId="0" fontId="9" fillId="0" borderId="0" xfId="0" applyNumberFormat="1" applyFont="1" applyFill="1" applyAlignment="1" applyProtection="1"/>
    <xf numFmtId="41" fontId="9" fillId="0" borderId="0" xfId="264" applyNumberFormat="1" applyFont="1" applyFill="1" applyAlignment="1" applyProtection="1"/>
    <xf numFmtId="42" fontId="9" fillId="0" borderId="0" xfId="264" applyNumberFormat="1" applyFont="1" applyFill="1" applyAlignment="1" applyProtection="1"/>
    <xf numFmtId="43" fontId="9" fillId="0" borderId="0" xfId="86" applyFont="1" applyProtection="1"/>
    <xf numFmtId="0" fontId="9" fillId="0" borderId="0" xfId="264" applyNumberFormat="1" applyFont="1" applyFill="1" applyAlignment="1" applyProtection="1"/>
    <xf numFmtId="171" fontId="9" fillId="0" borderId="0" xfId="264" applyNumberFormat="1" applyFont="1" applyProtection="1"/>
    <xf numFmtId="10" fontId="9" fillId="0" borderId="0" xfId="264" applyNumberFormat="1" applyFont="1" applyAlignment="1" applyProtection="1"/>
    <xf numFmtId="10" fontId="9" fillId="0" borderId="0" xfId="264" applyNumberFormat="1" applyFont="1" applyProtection="1"/>
    <xf numFmtId="0" fontId="36" fillId="0" borderId="0" xfId="0" applyFont="1" applyProtection="1"/>
    <xf numFmtId="10" fontId="9" fillId="0" borderId="0" xfId="273" applyNumberFormat="1" applyFont="1" applyAlignment="1" applyProtection="1"/>
    <xf numFmtId="186" fontId="9" fillId="0" borderId="0" xfId="264"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64" applyNumberFormat="1" applyFont="1" applyAlignment="1" applyProtection="1">
      <alignment horizontal="center"/>
    </xf>
    <xf numFmtId="41" fontId="9" fillId="0" borderId="14" xfId="264" applyNumberFormat="1" applyFont="1" applyBorder="1" applyAlignment="1" applyProtection="1">
      <alignment horizontal="center"/>
    </xf>
    <xf numFmtId="41" fontId="9" fillId="0" borderId="0" xfId="264" applyNumberFormat="1" applyFont="1" applyFill="1" applyAlignment="1" applyProtection="1">
      <alignment horizontal="right"/>
    </xf>
    <xf numFmtId="42" fontId="9" fillId="0" borderId="0" xfId="273" applyNumberFormat="1" applyFont="1" applyAlignment="1" applyProtection="1"/>
    <xf numFmtId="43" fontId="9" fillId="0" borderId="0" xfId="264" applyNumberFormat="1" applyFont="1" applyFill="1" applyAlignment="1" applyProtection="1">
      <alignment horizontal="right"/>
    </xf>
    <xf numFmtId="172" fontId="9" fillId="0" borderId="0" xfId="264" applyFont="1" applyFill="1" applyAlignment="1" applyProtection="1">
      <alignment horizontal="right"/>
    </xf>
    <xf numFmtId="0" fontId="36" fillId="0" borderId="0" xfId="0" applyFont="1" applyAlignment="1" applyProtection="1">
      <alignment horizontal="center"/>
    </xf>
    <xf numFmtId="49" fontId="9" fillId="0" borderId="0" xfId="264" applyNumberFormat="1" applyFont="1" applyAlignment="1" applyProtection="1">
      <alignment horizontal="left"/>
    </xf>
    <xf numFmtId="0" fontId="7" fillId="0" borderId="0" xfId="264" applyNumberFormat="1" applyFont="1" applyAlignment="1" applyProtection="1">
      <alignment horizontal="center" vertical="center"/>
    </xf>
    <xf numFmtId="3" fontId="10" fillId="0" borderId="0" xfId="264" applyNumberFormat="1" applyFont="1" applyAlignment="1" applyProtection="1">
      <alignment horizontal="center"/>
    </xf>
    <xf numFmtId="172" fontId="10" fillId="0" borderId="0" xfId="264" applyFont="1" applyAlignment="1" applyProtection="1">
      <alignment horizontal="center"/>
    </xf>
    <xf numFmtId="49" fontId="10" fillId="0" borderId="0" xfId="264" applyNumberFormat="1" applyFont="1" applyAlignment="1" applyProtection="1">
      <alignment horizontal="center"/>
    </xf>
    <xf numFmtId="0" fontId="14" fillId="0" borderId="0" xfId="264" applyNumberFormat="1" applyFont="1" applyAlignment="1" applyProtection="1">
      <alignment horizontal="center"/>
    </xf>
    <xf numFmtId="172" fontId="14" fillId="0" borderId="0" xfId="264" applyFont="1" applyBorder="1" applyAlignment="1" applyProtection="1">
      <alignment horizontal="center"/>
    </xf>
    <xf numFmtId="3" fontId="10" fillId="0" borderId="0" xfId="264" applyNumberFormat="1" applyFont="1" applyAlignment="1" applyProtection="1"/>
    <xf numFmtId="3" fontId="9" fillId="0" borderId="0" xfId="264" applyNumberFormat="1" applyFont="1" applyFill="1" applyBorder="1" applyAlignment="1" applyProtection="1">
      <alignment horizontal="center"/>
    </xf>
    <xf numFmtId="0" fontId="9" fillId="0" borderId="0" xfId="264" applyNumberFormat="1" applyFont="1" applyBorder="1" applyAlignment="1" applyProtection="1"/>
    <xf numFmtId="173" fontId="9" fillId="0" borderId="0" xfId="86" applyNumberFormat="1" applyFont="1" applyFill="1" applyAlignment="1" applyProtection="1"/>
    <xf numFmtId="0" fontId="9" fillId="0" borderId="0" xfId="264" applyNumberFormat="1" applyFont="1" applyBorder="1" applyAlignment="1" applyProtection="1">
      <alignment vertical="center"/>
    </xf>
    <xf numFmtId="3" fontId="9" fillId="0" borderId="0" xfId="264" applyNumberFormat="1" applyFont="1" applyFill="1" applyAlignment="1" applyProtection="1">
      <alignment vertical="center" wrapText="1"/>
    </xf>
    <xf numFmtId="3" fontId="9" fillId="0" borderId="0" xfId="264" applyNumberFormat="1" applyFont="1" applyFill="1" applyAlignment="1" applyProtection="1">
      <alignment horizontal="center" vertical="center"/>
    </xf>
    <xf numFmtId="3" fontId="9" fillId="0" borderId="0" xfId="264" applyNumberFormat="1" applyFont="1" applyFill="1" applyAlignment="1" applyProtection="1">
      <alignment vertical="center"/>
    </xf>
    <xf numFmtId="41" fontId="9" fillId="0" borderId="0" xfId="264" applyNumberFormat="1" applyFont="1" applyFill="1" applyAlignment="1" applyProtection="1">
      <alignment vertical="center"/>
    </xf>
    <xf numFmtId="0" fontId="9" fillId="0" borderId="0" xfId="264" applyNumberFormat="1" applyFont="1" applyFill="1" applyBorder="1" applyAlignment="1" applyProtection="1"/>
    <xf numFmtId="41" fontId="9" fillId="0" borderId="6" xfId="264" applyNumberFormat="1" applyFont="1" applyFill="1" applyBorder="1" applyAlignment="1" applyProtection="1"/>
    <xf numFmtId="0" fontId="36" fillId="0" borderId="0" xfId="0" applyFont="1" applyAlignment="1" applyProtection="1"/>
    <xf numFmtId="178" fontId="10" fillId="0" borderId="0" xfId="264" applyNumberFormat="1" applyFont="1" applyFill="1" applyAlignment="1" applyProtection="1">
      <alignment horizontal="right"/>
    </xf>
    <xf numFmtId="182" fontId="10" fillId="0" borderId="0" xfId="86" applyNumberFormat="1" applyFont="1" applyFill="1" applyAlignment="1" applyProtection="1"/>
    <xf numFmtId="178" fontId="9" fillId="0" borderId="0" xfId="264" applyNumberFormat="1" applyFont="1" applyFill="1" applyAlignment="1" applyProtection="1"/>
    <xf numFmtId="184" fontId="9" fillId="0" borderId="0" xfId="264" applyNumberFormat="1" applyFont="1" applyFill="1" applyAlignment="1" applyProtection="1"/>
    <xf numFmtId="183" fontId="9" fillId="0" borderId="0" xfId="264" applyNumberFormat="1" applyFont="1" applyFill="1" applyAlignment="1" applyProtection="1"/>
    <xf numFmtId="165" fontId="9" fillId="0" borderId="0" xfId="264" applyNumberFormat="1" applyFont="1" applyFill="1" applyAlignment="1" applyProtection="1"/>
    <xf numFmtId="0" fontId="9" fillId="0" borderId="0" xfId="264" applyNumberFormat="1" applyFont="1" applyFill="1" applyAlignment="1" applyProtection="1">
      <alignment horizontal="center" vertical="center"/>
    </xf>
    <xf numFmtId="164" fontId="9" fillId="0" borderId="0" xfId="264"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64" applyNumberFormat="1" applyFont="1" applyAlignment="1" applyProtection="1"/>
    <xf numFmtId="165" fontId="9" fillId="0" borderId="0" xfId="264" applyNumberFormat="1" applyFont="1" applyAlignment="1" applyProtection="1"/>
    <xf numFmtId="3" fontId="10" fillId="0" borderId="0" xfId="264" applyNumberFormat="1" applyFont="1" applyFill="1" applyAlignment="1" applyProtection="1">
      <alignment horizontal="right"/>
    </xf>
    <xf numFmtId="182" fontId="9" fillId="0" borderId="0" xfId="86" applyNumberFormat="1" applyFont="1" applyFill="1" applyAlignment="1" applyProtection="1"/>
    <xf numFmtId="0" fontId="0" fillId="0" borderId="0" xfId="0" applyFill="1" applyProtection="1"/>
    <xf numFmtId="164" fontId="9" fillId="0" borderId="0" xfId="264" applyNumberFormat="1" applyFont="1" applyFill="1" applyAlignment="1" applyProtection="1">
      <alignment horizontal="left"/>
    </xf>
    <xf numFmtId="0" fontId="36" fillId="0" borderId="0" xfId="0" applyFont="1" applyFill="1" applyProtection="1"/>
    <xf numFmtId="10" fontId="9" fillId="0" borderId="0" xfId="273" applyNumberFormat="1" applyFont="1" applyFill="1" applyAlignment="1" applyProtection="1"/>
    <xf numFmtId="175" fontId="9" fillId="0" borderId="0" xfId="264" applyNumberFormat="1" applyFont="1" applyFill="1" applyAlignment="1" applyProtection="1"/>
    <xf numFmtId="41" fontId="9" fillId="0" borderId="0" xfId="264" applyNumberFormat="1" applyFont="1" applyAlignment="1" applyProtection="1">
      <alignment horizontal="center" vertical="center"/>
    </xf>
    <xf numFmtId="41" fontId="9" fillId="0" borderId="6" xfId="264" applyNumberFormat="1" applyFont="1" applyBorder="1" applyAlignment="1" applyProtection="1"/>
    <xf numFmtId="164" fontId="9" fillId="0" borderId="0" xfId="264" applyNumberFormat="1" applyFont="1" applyAlignment="1" applyProtection="1">
      <alignment horizontal="center"/>
    </xf>
    <xf numFmtId="0" fontId="89" fillId="0" borderId="0" xfId="264" applyNumberFormat="1" applyFont="1" applyAlignment="1" applyProtection="1">
      <alignment horizontal="center"/>
    </xf>
    <xf numFmtId="3" fontId="9" fillId="0" borderId="0" xfId="264" applyNumberFormat="1" applyFont="1" applyFill="1" applyAlignment="1" applyProtection="1">
      <alignment horizontal="right"/>
    </xf>
    <xf numFmtId="172" fontId="9" fillId="0" borderId="0" xfId="264" applyFont="1" applyAlignment="1" applyProtection="1">
      <alignment horizontal="center"/>
    </xf>
    <xf numFmtId="172" fontId="9" fillId="0" borderId="0" xfId="264" applyFont="1" applyFill="1" applyAlignment="1" applyProtection="1">
      <alignment horizontal="center"/>
    </xf>
    <xf numFmtId="0" fontId="0" fillId="0" borderId="0" xfId="0" applyAlignment="1" applyProtection="1">
      <alignment horizontal="center"/>
    </xf>
    <xf numFmtId="49" fontId="9" fillId="0" borderId="0" xfId="264" applyNumberFormat="1" applyFont="1" applyFill="1" applyAlignment="1" applyProtection="1">
      <alignment horizontal="center"/>
    </xf>
    <xf numFmtId="0" fontId="10" fillId="0" borderId="0" xfId="264" applyNumberFormat="1" applyFont="1" applyFill="1" applyAlignment="1" applyProtection="1">
      <alignment horizontal="center"/>
    </xf>
    <xf numFmtId="172" fontId="10" fillId="0" borderId="0" xfId="264" applyFont="1" applyAlignment="1" applyProtection="1"/>
    <xf numFmtId="0" fontId="10" fillId="0" borderId="0" xfId="264" applyNumberFormat="1" applyFont="1" applyAlignment="1" applyProtection="1">
      <alignment horizontal="center"/>
    </xf>
    <xf numFmtId="3" fontId="14" fillId="0" borderId="0" xfId="264" applyNumberFormat="1" applyFont="1" applyAlignment="1" applyProtection="1">
      <alignment horizontal="center"/>
    </xf>
    <xf numFmtId="3" fontId="10" fillId="0" borderId="0" xfId="264" applyNumberFormat="1" applyFont="1" applyFill="1" applyAlignment="1" applyProtection="1"/>
    <xf numFmtId="3" fontId="14" fillId="0" borderId="0" xfId="264" applyNumberFormat="1" applyFont="1" applyFill="1" applyAlignment="1" applyProtection="1"/>
    <xf numFmtId="3" fontId="14" fillId="0" borderId="0" xfId="264"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98" fillId="0" borderId="0" xfId="264" applyNumberFormat="1" applyFont="1" applyFill="1" applyAlignment="1" applyProtection="1">
      <alignment horizontal="right"/>
    </xf>
    <xf numFmtId="41" fontId="9" fillId="0" borderId="0" xfId="264" applyNumberFormat="1" applyFont="1" applyBorder="1" applyAlignment="1" applyProtection="1"/>
    <xf numFmtId="3" fontId="9" fillId="0" borderId="0" xfId="264" applyNumberFormat="1" applyFont="1" applyAlignment="1" applyProtection="1">
      <alignment vertical="center" wrapText="1"/>
    </xf>
    <xf numFmtId="41" fontId="98" fillId="0" borderId="0" xfId="264" applyNumberFormat="1" applyFont="1" applyFill="1" applyAlignment="1" applyProtection="1">
      <alignment horizontal="right"/>
    </xf>
    <xf numFmtId="3" fontId="9" fillId="0" borderId="0" xfId="264" applyNumberFormat="1" applyFont="1" applyAlignment="1" applyProtection="1">
      <alignment horizontal="center" vertical="center"/>
    </xf>
    <xf numFmtId="3" fontId="9" fillId="0" borderId="0" xfId="264" applyNumberFormat="1" applyFont="1" applyAlignment="1" applyProtection="1">
      <alignment vertical="center"/>
    </xf>
    <xf numFmtId="41" fontId="9" fillId="0" borderId="0" xfId="264" applyNumberFormat="1" applyFont="1" applyAlignment="1" applyProtection="1">
      <alignment vertical="center"/>
    </xf>
    <xf numFmtId="43" fontId="9" fillId="0" borderId="0" xfId="273" applyNumberFormat="1" applyFont="1" applyFill="1" applyAlignment="1" applyProtection="1"/>
    <xf numFmtId="166" fontId="9" fillId="0" borderId="0" xfId="264" applyNumberFormat="1" applyFont="1" applyAlignment="1" applyProtection="1"/>
    <xf numFmtId="167" fontId="9" fillId="0" borderId="0" xfId="264" applyNumberFormat="1" applyFont="1" applyAlignment="1" applyProtection="1"/>
    <xf numFmtId="172" fontId="27" fillId="0" borderId="0" xfId="264" applyFont="1" applyAlignment="1" applyProtection="1"/>
    <xf numFmtId="164" fontId="9" fillId="0" borderId="0" xfId="264" applyNumberFormat="1" applyFont="1" applyBorder="1" applyAlignment="1" applyProtection="1">
      <alignment horizontal="left"/>
    </xf>
    <xf numFmtId="168" fontId="9" fillId="0" borderId="0" xfId="264" applyNumberFormat="1" applyFont="1" applyAlignment="1" applyProtection="1"/>
    <xf numFmtId="10" fontId="9" fillId="0" borderId="0" xfId="264" applyNumberFormat="1" applyFont="1" applyFill="1" applyAlignment="1" applyProtection="1">
      <alignment horizontal="right"/>
    </xf>
    <xf numFmtId="10" fontId="36" fillId="0" borderId="0" xfId="273" applyNumberFormat="1" applyFont="1" applyProtection="1"/>
    <xf numFmtId="3" fontId="27" fillId="0" borderId="0" xfId="264" applyNumberFormat="1" applyFont="1" applyAlignment="1" applyProtection="1"/>
    <xf numFmtId="167" fontId="9" fillId="0" borderId="0" xfId="264" applyNumberFormat="1" applyFont="1" applyFill="1" applyAlignment="1" applyProtection="1"/>
    <xf numFmtId="166" fontId="9" fillId="0" borderId="0" xfId="264" applyNumberFormat="1" applyFont="1" applyAlignment="1" applyProtection="1">
      <alignment horizontal="center"/>
    </xf>
    <xf numFmtId="188" fontId="27" fillId="0" borderId="0" xfId="264" applyNumberFormat="1" applyFont="1" applyAlignment="1" applyProtection="1">
      <alignment horizontal="center"/>
    </xf>
    <xf numFmtId="189" fontId="9" fillId="0" borderId="0" xfId="264" applyNumberFormat="1" applyFont="1" applyAlignment="1" applyProtection="1"/>
    <xf numFmtId="164" fontId="9" fillId="0" borderId="0" xfId="264" applyNumberFormat="1" applyFont="1" applyFill="1" applyBorder="1" applyAlignment="1" applyProtection="1">
      <alignment horizontal="left"/>
    </xf>
    <xf numFmtId="179" fontId="9" fillId="0" borderId="0" xfId="264" applyNumberFormat="1" applyFont="1" applyFill="1" applyAlignment="1" applyProtection="1">
      <alignment horizontal="right"/>
    </xf>
    <xf numFmtId="186" fontId="9" fillId="0" borderId="0" xfId="86" applyNumberFormat="1" applyFont="1" applyAlignment="1" applyProtection="1">
      <alignment horizontal="center"/>
    </xf>
    <xf numFmtId="41" fontId="27" fillId="0" borderId="0" xfId="264" applyNumberFormat="1" applyFont="1" applyAlignment="1" applyProtection="1"/>
    <xf numFmtId="43" fontId="27" fillId="0" borderId="0" xfId="86" applyFont="1" applyAlignment="1" applyProtection="1"/>
    <xf numFmtId="179" fontId="9" fillId="0" borderId="0" xfId="264" applyNumberFormat="1" applyFont="1" applyAlignment="1" applyProtection="1">
      <alignment horizontal="center"/>
    </xf>
    <xf numFmtId="10" fontId="9" fillId="0" borderId="0" xfId="264" applyNumberFormat="1" applyFont="1" applyFill="1" applyAlignment="1" applyProtection="1">
      <alignment horizontal="left"/>
    </xf>
    <xf numFmtId="188" fontId="9" fillId="0" borderId="0" xfId="264" applyNumberFormat="1" applyFont="1" applyAlignment="1" applyProtection="1">
      <alignment horizontal="center"/>
    </xf>
    <xf numFmtId="168" fontId="9" fillId="0" borderId="0" xfId="264" applyNumberFormat="1" applyFont="1" applyFill="1" applyAlignment="1" applyProtection="1">
      <alignment horizontal="left"/>
    </xf>
    <xf numFmtId="41" fontId="9" fillId="0" borderId="0" xfId="264" applyNumberFormat="1" applyFont="1" applyAlignment="1" applyProtection="1">
      <alignment horizontal="right"/>
    </xf>
    <xf numFmtId="41" fontId="9" fillId="0" borderId="11" xfId="264" applyNumberFormat="1" applyFont="1" applyBorder="1" applyAlignment="1" applyProtection="1"/>
    <xf numFmtId="179" fontId="9" fillId="0" borderId="0" xfId="264" applyNumberFormat="1" applyFont="1" applyAlignment="1" applyProtection="1"/>
    <xf numFmtId="172" fontId="27" fillId="0" borderId="0" xfId="264" applyFont="1" applyFill="1" applyAlignment="1" applyProtection="1"/>
    <xf numFmtId="164" fontId="9" fillId="0" borderId="0" xfId="264" applyNumberFormat="1" applyFont="1" applyFill="1" applyBorder="1" applyAlignment="1" applyProtection="1">
      <alignment horizontal="left" vertical="center"/>
    </xf>
    <xf numFmtId="41" fontId="9" fillId="0" borderId="0" xfId="264" applyNumberFormat="1" applyFont="1" applyFill="1" applyAlignment="1" applyProtection="1">
      <alignment horizontal="center" vertical="center"/>
    </xf>
    <xf numFmtId="180" fontId="9" fillId="0" borderId="0" xfId="264" applyNumberFormat="1" applyFont="1" applyAlignment="1" applyProtection="1"/>
    <xf numFmtId="173" fontId="9" fillId="0" borderId="14" xfId="86" applyNumberFormat="1" applyFont="1" applyBorder="1" applyAlignment="1" applyProtection="1"/>
    <xf numFmtId="0" fontId="9" fillId="0" borderId="0" xfId="264" applyNumberFormat="1" applyFont="1" applyFill="1" applyBorder="1" applyAlignment="1" applyProtection="1">
      <alignment horizontal="left"/>
    </xf>
    <xf numFmtId="0" fontId="10" fillId="0" borderId="0" xfId="264" applyNumberFormat="1" applyFont="1" applyAlignment="1" applyProtection="1"/>
    <xf numFmtId="0" fontId="9" fillId="0" borderId="0" xfId="0" applyFont="1" applyFill="1" applyAlignment="1" applyProtection="1">
      <alignment horizontal="left"/>
    </xf>
    <xf numFmtId="0" fontId="9" fillId="0" borderId="0" xfId="264" applyNumberFormat="1" applyFont="1" applyFill="1" applyBorder="1" applyProtection="1"/>
    <xf numFmtId="3" fontId="9" fillId="0" borderId="0" xfId="264" applyNumberFormat="1" applyFont="1" applyFill="1" applyBorder="1" applyAlignment="1" applyProtection="1"/>
    <xf numFmtId="172" fontId="9" fillId="0" borderId="0" xfId="264" applyFont="1" applyFill="1" applyBorder="1" applyAlignment="1" applyProtection="1"/>
    <xf numFmtId="172" fontId="9" fillId="0" borderId="0" xfId="264" applyFont="1" applyFill="1" applyBorder="1" applyAlignment="1" applyProtection="1">
      <alignment horizontal="center"/>
    </xf>
    <xf numFmtId="173" fontId="9" fillId="0" borderId="6" xfId="86" applyNumberFormat="1" applyFont="1" applyBorder="1" applyAlignment="1" applyProtection="1"/>
    <xf numFmtId="3" fontId="9" fillId="0" borderId="0" xfId="264" applyNumberFormat="1" applyFont="1" applyFill="1" applyBorder="1" applyAlignment="1" applyProtection="1">
      <alignment horizontal="left"/>
    </xf>
    <xf numFmtId="0" fontId="9" fillId="0" borderId="0" xfId="264" applyNumberFormat="1" applyFont="1" applyFill="1" applyBorder="1" applyAlignment="1" applyProtection="1">
      <alignment horizontal="center"/>
    </xf>
    <xf numFmtId="49" fontId="9" fillId="0" borderId="0" xfId="264" applyNumberFormat="1" applyFont="1" applyFill="1" applyBorder="1" applyProtection="1"/>
    <xf numFmtId="49" fontId="9" fillId="0" borderId="0" xfId="264" applyNumberFormat="1" applyFont="1" applyFill="1" applyBorder="1" applyAlignment="1" applyProtection="1"/>
    <xf numFmtId="49" fontId="9" fillId="0" borderId="0" xfId="264" applyNumberFormat="1" applyFont="1" applyFill="1" applyBorder="1" applyAlignment="1" applyProtection="1">
      <alignment horizontal="center"/>
    </xf>
    <xf numFmtId="3" fontId="10" fillId="0" borderId="0" xfId="264" applyNumberFormat="1" applyFont="1" applyFill="1" applyBorder="1" applyAlignment="1" applyProtection="1"/>
    <xf numFmtId="165" fontId="10" fillId="0" borderId="0" xfId="264" applyNumberFormat="1" applyFont="1" applyFill="1" applyBorder="1" applyAlignment="1" applyProtection="1">
      <alignment horizontal="right"/>
    </xf>
    <xf numFmtId="0" fontId="10" fillId="0" borderId="0" xfId="264" applyNumberFormat="1" applyFont="1" applyFill="1" applyAlignment="1" applyProtection="1"/>
    <xf numFmtId="3" fontId="9" fillId="0" borderId="0" xfId="264" applyNumberFormat="1" applyFont="1" applyFill="1" applyProtection="1"/>
    <xf numFmtId="3" fontId="9" fillId="0" borderId="0" xfId="264" applyNumberFormat="1" applyFont="1" applyFill="1" applyAlignment="1" applyProtection="1">
      <alignment horizontal="center" wrapText="1"/>
    </xf>
    <xf numFmtId="4" fontId="9" fillId="0" borderId="0" xfId="264" applyNumberFormat="1" applyFont="1" applyAlignment="1" applyProtection="1"/>
    <xf numFmtId="173" fontId="9" fillId="0" borderId="6" xfId="86" applyNumberFormat="1" applyFont="1" applyFill="1" applyBorder="1" applyAlignment="1" applyProtection="1"/>
    <xf numFmtId="3" fontId="10" fillId="0" borderId="0" xfId="264" applyNumberFormat="1" applyFont="1" applyFill="1" applyAlignment="1" applyProtection="1">
      <alignment horizontal="center"/>
    </xf>
    <xf numFmtId="172" fontId="10" fillId="0" borderId="0" xfId="264" applyFont="1" applyAlignment="1" applyProtection="1">
      <alignment horizontal="right"/>
    </xf>
    <xf numFmtId="165" fontId="10" fillId="0" borderId="0" xfId="264" applyNumberFormat="1" applyFont="1" applyAlignment="1" applyProtection="1"/>
    <xf numFmtId="166" fontId="10" fillId="0" borderId="0" xfId="264" applyNumberFormat="1" applyFont="1" applyFill="1" applyProtection="1"/>
    <xf numFmtId="3" fontId="9" fillId="0" borderId="6" xfId="264" applyNumberFormat="1" applyFont="1" applyFill="1" applyBorder="1" applyAlignment="1" applyProtection="1">
      <alignment horizontal="center"/>
    </xf>
    <xf numFmtId="0" fontId="18" fillId="0" borderId="0" xfId="264" applyNumberFormat="1" applyFont="1" applyFill="1" applyBorder="1" applyAlignment="1" applyProtection="1">
      <alignment horizontal="left"/>
    </xf>
    <xf numFmtId="0" fontId="9" fillId="0" borderId="0" xfId="264" applyNumberFormat="1" applyFont="1" applyFill="1" applyAlignment="1" applyProtection="1">
      <alignment horizontal="left"/>
    </xf>
    <xf numFmtId="182" fontId="9" fillId="0" borderId="0" xfId="86" applyNumberFormat="1" applyFont="1" applyFill="1" applyAlignment="1" applyProtection="1">
      <alignment horizontal="center"/>
    </xf>
    <xf numFmtId="0" fontId="9" fillId="0" borderId="6" xfId="264" applyNumberFormat="1" applyFont="1" applyFill="1" applyBorder="1" applyAlignment="1" applyProtection="1">
      <alignment horizontal="center"/>
    </xf>
    <xf numFmtId="182" fontId="9" fillId="0" borderId="6" xfId="86" applyNumberFormat="1" applyFont="1" applyFill="1" applyBorder="1" applyAlignment="1" applyProtection="1">
      <alignment horizontal="center"/>
    </xf>
    <xf numFmtId="10" fontId="9" fillId="0" borderId="0" xfId="264" applyNumberFormat="1" applyFont="1" applyFill="1" applyAlignment="1" applyProtection="1"/>
    <xf numFmtId="186" fontId="9" fillId="0" borderId="0" xfId="86" applyNumberFormat="1" applyFont="1" applyFill="1" applyAlignment="1" applyProtection="1"/>
    <xf numFmtId="169" fontId="9" fillId="0" borderId="15" xfId="264" applyNumberFormat="1" applyFont="1" applyFill="1" applyBorder="1" applyAlignment="1" applyProtection="1"/>
    <xf numFmtId="3" fontId="9" fillId="0" borderId="0" xfId="264" quotePrefix="1" applyNumberFormat="1" applyFont="1" applyAlignment="1" applyProtection="1"/>
    <xf numFmtId="169" fontId="9" fillId="0" borderId="0" xfId="264" applyNumberFormat="1" applyFont="1" applyFill="1" applyBorder="1" applyAlignment="1" applyProtection="1"/>
    <xf numFmtId="169" fontId="9" fillId="0" borderId="6" xfId="264" applyNumberFormat="1" applyFont="1" applyFill="1" applyBorder="1" applyAlignment="1" applyProtection="1"/>
    <xf numFmtId="182" fontId="26" fillId="0" borderId="0" xfId="86" applyNumberFormat="1" applyFont="1" applyFill="1" applyProtection="1"/>
    <xf numFmtId="169" fontId="10" fillId="0" borderId="0" xfId="264" applyNumberFormat="1" applyFont="1" applyFill="1" applyAlignment="1" applyProtection="1"/>
    <xf numFmtId="3" fontId="10" fillId="0" borderId="0" xfId="264" quotePrefix="1" applyNumberFormat="1" applyFont="1" applyAlignment="1" applyProtection="1"/>
    <xf numFmtId="172" fontId="9" fillId="0" borderId="0" xfId="264" applyFont="1" applyAlignment="1" applyProtection="1">
      <alignment horizontal="right"/>
    </xf>
    <xf numFmtId="172" fontId="9" fillId="0" borderId="0" xfId="264" applyNumberFormat="1" applyFont="1" applyAlignment="1" applyProtection="1"/>
    <xf numFmtId="172" fontId="14" fillId="0" borderId="0" xfId="264" applyFont="1" applyAlignment="1" applyProtection="1">
      <alignment horizontal="center"/>
    </xf>
    <xf numFmtId="172" fontId="7" fillId="0" borderId="0" xfId="264" applyFont="1" applyFill="1" applyAlignment="1" applyProtection="1">
      <alignment horizontal="center"/>
    </xf>
    <xf numFmtId="172" fontId="7" fillId="0" borderId="0" xfId="264" applyFont="1" applyFill="1" applyAlignment="1" applyProtection="1"/>
    <xf numFmtId="10" fontId="9" fillId="0" borderId="0" xfId="264"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64" applyNumberFormat="1" applyFont="1" applyFill="1" applyAlignment="1" applyProtection="1"/>
    <xf numFmtId="0" fontId="118" fillId="0" borderId="0" xfId="264" applyNumberFormat="1" applyFont="1" applyFill="1" applyAlignment="1" applyProtection="1"/>
    <xf numFmtId="0" fontId="30" fillId="0" borderId="0" xfId="264" applyNumberFormat="1" applyFont="1" applyFill="1" applyProtection="1"/>
    <xf numFmtId="172" fontId="30" fillId="0" borderId="0" xfId="264" applyFont="1" applyFill="1" applyAlignment="1" applyProtection="1"/>
    <xf numFmtId="0" fontId="30" fillId="0" borderId="0" xfId="0" applyFont="1" applyAlignment="1" applyProtection="1">
      <alignment vertical="top" wrapText="1"/>
    </xf>
    <xf numFmtId="172" fontId="30" fillId="0" borderId="0" xfId="264" applyFont="1" applyFill="1" applyAlignment="1" applyProtection="1">
      <alignment wrapText="1"/>
    </xf>
    <xf numFmtId="172" fontId="118" fillId="0" borderId="0" xfId="264" applyFont="1" applyFill="1" applyAlignment="1" applyProtection="1"/>
    <xf numFmtId="0" fontId="7" fillId="0" borderId="0" xfId="264" applyNumberFormat="1" applyFont="1" applyFill="1" applyProtection="1"/>
    <xf numFmtId="0" fontId="88" fillId="0" borderId="0" xfId="264" applyNumberFormat="1" applyFont="1" applyFill="1" applyAlignment="1" applyProtection="1">
      <alignment horizontal="center"/>
    </xf>
    <xf numFmtId="0" fontId="0" fillId="0" borderId="0" xfId="0" applyAlignment="1" applyProtection="1">
      <alignment wrapText="1"/>
    </xf>
    <xf numFmtId="0" fontId="9" fillId="0" borderId="0" xfId="0" applyFont="1" applyAlignment="1" applyProtection="1">
      <alignment horizontal="center"/>
    </xf>
    <xf numFmtId="0" fontId="9" fillId="0" borderId="0" xfId="215" applyFont="1" applyBorder="1" applyAlignment="1" applyProtection="1">
      <alignment horizontal="center"/>
    </xf>
    <xf numFmtId="49" fontId="9" fillId="0" borderId="0" xfId="254"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68" applyFont="1" applyProtection="1"/>
    <xf numFmtId="0" fontId="7" fillId="0" borderId="0" xfId="268" applyFont="1" applyAlignment="1" applyProtection="1">
      <alignment horizontal="right"/>
    </xf>
    <xf numFmtId="0" fontId="14" fillId="0" borderId="0" xfId="268" applyFont="1" applyAlignment="1" applyProtection="1">
      <alignment horizontal="center"/>
    </xf>
    <xf numFmtId="0" fontId="30" fillId="0" borderId="0" xfId="0" applyFont="1" applyProtection="1"/>
    <xf numFmtId="0" fontId="9" fillId="0" borderId="0" xfId="268" applyFont="1" applyProtection="1"/>
    <xf numFmtId="0" fontId="84" fillId="0" borderId="0" xfId="268" applyFont="1" applyProtection="1"/>
    <xf numFmtId="0" fontId="30" fillId="0" borderId="0" xfId="0" applyFont="1" applyAlignment="1" applyProtection="1">
      <alignment horizontal="center"/>
    </xf>
    <xf numFmtId="0" fontId="14" fillId="0" borderId="0" xfId="268"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68" applyFont="1" applyFill="1" applyProtection="1"/>
    <xf numFmtId="0" fontId="30" fillId="0" borderId="0" xfId="268" applyFont="1" applyAlignment="1" applyProtection="1">
      <alignment horizontal="center"/>
    </xf>
    <xf numFmtId="0" fontId="13" fillId="0" borderId="0" xfId="268" applyFont="1" applyFill="1" applyAlignment="1" applyProtection="1">
      <alignment horizontal="center"/>
    </xf>
    <xf numFmtId="0" fontId="13" fillId="0" borderId="0" xfId="268" applyFont="1" applyFill="1" applyProtection="1"/>
    <xf numFmtId="0" fontId="16" fillId="0" borderId="0" xfId="268" applyFont="1" applyProtection="1"/>
    <xf numFmtId="173" fontId="16" fillId="0" borderId="0" xfId="268" applyNumberFormat="1" applyFont="1" applyFill="1" applyProtection="1"/>
    <xf numFmtId="0" fontId="107" fillId="0" borderId="0" xfId="0" applyFont="1" applyFill="1" applyProtection="1"/>
    <xf numFmtId="0" fontId="16" fillId="0" borderId="0" xfId="0" applyFont="1" applyAlignment="1" applyProtection="1">
      <alignment horizontal="center"/>
    </xf>
    <xf numFmtId="0" fontId="107" fillId="0" borderId="0" xfId="0" applyFont="1" applyProtection="1"/>
    <xf numFmtId="0" fontId="99" fillId="0" borderId="0" xfId="268" applyFont="1" applyFill="1" applyAlignment="1" applyProtection="1">
      <alignment horizontal="center"/>
    </xf>
    <xf numFmtId="0" fontId="99" fillId="0" borderId="0" xfId="268" applyFont="1" applyFill="1" applyProtection="1"/>
    <xf numFmtId="0" fontId="106" fillId="0" borderId="0" xfId="0" applyFont="1" applyProtection="1"/>
    <xf numFmtId="0" fontId="106" fillId="0" borderId="0" xfId="268" applyFont="1" applyProtection="1"/>
    <xf numFmtId="172" fontId="16" fillId="0" borderId="0" xfId="268" applyNumberFormat="1" applyFont="1" applyFill="1" applyAlignment="1" applyProtection="1">
      <alignment horizontal="center"/>
    </xf>
    <xf numFmtId="0" fontId="16" fillId="0" borderId="0" xfId="268" applyFont="1" applyFill="1" applyProtection="1"/>
    <xf numFmtId="0" fontId="13" fillId="0" borderId="0" xfId="268" applyFont="1" applyProtection="1"/>
    <xf numFmtId="0" fontId="99" fillId="0" borderId="0" xfId="268" applyFont="1" applyProtection="1"/>
    <xf numFmtId="43" fontId="16" fillId="0" borderId="0" xfId="117" applyFont="1" applyFill="1" applyProtection="1"/>
    <xf numFmtId="43" fontId="106" fillId="0" borderId="0" xfId="117" applyFont="1" applyFill="1" applyProtection="1"/>
    <xf numFmtId="185"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68" applyNumberFormat="1" applyFont="1" applyProtection="1"/>
    <xf numFmtId="173" fontId="16" fillId="0" borderId="0" xfId="268" applyNumberFormat="1" applyFont="1" applyBorder="1" applyProtection="1"/>
    <xf numFmtId="173" fontId="16" fillId="0" borderId="13" xfId="268" applyNumberFormat="1" applyFont="1" applyBorder="1" applyProtection="1"/>
    <xf numFmtId="0" fontId="9" fillId="0" borderId="0" xfId="268" applyFont="1" applyFill="1" applyProtection="1"/>
    <xf numFmtId="173" fontId="9" fillId="0" borderId="0" xfId="268"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64" applyNumberFormat="1" applyFont="1" applyFill="1" applyBorder="1" applyAlignment="1" applyProtection="1"/>
    <xf numFmtId="3" fontId="16" fillId="0" borderId="0" xfId="264" applyNumberFormat="1" applyFont="1" applyAlignment="1" applyProtection="1"/>
    <xf numFmtId="10" fontId="6" fillId="0" borderId="0" xfId="273" applyNumberFormat="1" applyAlignment="1" applyProtection="1">
      <alignment horizontal="right"/>
    </xf>
    <xf numFmtId="172" fontId="16" fillId="0" borderId="0" xfId="264" applyFont="1" applyAlignment="1" applyProtection="1"/>
    <xf numFmtId="172" fontId="16" fillId="0" borderId="0" xfId="264" applyFont="1" applyBorder="1" applyAlignment="1" applyProtection="1"/>
    <xf numFmtId="3" fontId="16" fillId="0" borderId="0" xfId="264" applyNumberFormat="1" applyFont="1" applyFill="1" applyAlignment="1" applyProtection="1"/>
    <xf numFmtId="10" fontId="16" fillId="0" borderId="0" xfId="273" applyNumberFormat="1" applyFont="1" applyFill="1" applyAlignment="1" applyProtection="1">
      <alignment horizontal="right"/>
    </xf>
    <xf numFmtId="3" fontId="13" fillId="0" borderId="0" xfId="264" applyNumberFormat="1" applyFont="1" applyAlignment="1" applyProtection="1"/>
    <xf numFmtId="10" fontId="16" fillId="0" borderId="0" xfId="264" applyNumberFormat="1" applyFont="1" applyFill="1" applyAlignment="1" applyProtection="1">
      <alignment horizontal="right"/>
    </xf>
    <xf numFmtId="3" fontId="17" fillId="0" borderId="0" xfId="264" applyNumberFormat="1" applyFont="1" applyAlignment="1" applyProtection="1">
      <alignment horizontal="center"/>
    </xf>
    <xf numFmtId="10" fontId="17" fillId="0" borderId="0" xfId="264" applyNumberFormat="1" applyFont="1" applyFill="1" applyAlignment="1" applyProtection="1">
      <alignment horizontal="center"/>
    </xf>
    <xf numFmtId="0" fontId="16" fillId="0" borderId="0" xfId="264"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73" applyNumberFormat="1" applyFont="1" applyAlignment="1" applyProtection="1"/>
    <xf numFmtId="166" fontId="16" fillId="0" borderId="0" xfId="264" applyNumberFormat="1" applyFont="1" applyAlignment="1" applyProtection="1">
      <alignment horizontal="center"/>
    </xf>
    <xf numFmtId="166" fontId="16" fillId="0" borderId="0" xfId="264" applyNumberFormat="1" applyFont="1" applyBorder="1" applyAlignment="1" applyProtection="1">
      <alignment horizontal="center"/>
    </xf>
    <xf numFmtId="41" fontId="16" fillId="0" borderId="0" xfId="264" applyNumberFormat="1" applyFont="1" applyAlignment="1" applyProtection="1"/>
    <xf numFmtId="41" fontId="16" fillId="0" borderId="0" xfId="264" applyNumberFormat="1" applyFont="1" applyAlignment="1" applyProtection="1">
      <alignment horizontal="center"/>
    </xf>
    <xf numFmtId="41" fontId="16" fillId="0" borderId="0" xfId="264" applyNumberFormat="1" applyFont="1" applyBorder="1" applyAlignment="1" applyProtection="1">
      <alignment horizontal="center"/>
    </xf>
    <xf numFmtId="0" fontId="16" fillId="0" borderId="0" xfId="264" applyNumberFormat="1" applyFont="1" applyBorder="1" applyAlignment="1" applyProtection="1">
      <alignment horizontal="right"/>
    </xf>
    <xf numFmtId="164" fontId="17" fillId="0" borderId="0" xfId="273" applyNumberFormat="1" applyFont="1" applyAlignment="1" applyProtection="1"/>
    <xf numFmtId="0" fontId="16" fillId="0" borderId="0" xfId="264" applyNumberFormat="1" applyFont="1" applyBorder="1" applyAlignment="1" applyProtection="1"/>
    <xf numFmtId="3" fontId="16" fillId="0" borderId="0" xfId="264" applyNumberFormat="1" applyFont="1" applyAlignment="1" applyProtection="1">
      <alignment horizontal="right"/>
    </xf>
    <xf numFmtId="172" fontId="6" fillId="0" borderId="17" xfId="264" applyFont="1" applyBorder="1" applyAlignment="1" applyProtection="1"/>
    <xf numFmtId="0" fontId="6" fillId="0" borderId="0" xfId="264" applyNumberFormat="1" applyFont="1" applyBorder="1" applyAlignment="1" applyProtection="1">
      <alignment horizontal="center"/>
    </xf>
    <xf numFmtId="172" fontId="6" fillId="0" borderId="0" xfId="264" applyFont="1" applyBorder="1" applyAlignment="1" applyProtection="1"/>
    <xf numFmtId="3" fontId="6" fillId="0" borderId="18" xfId="264" applyNumberFormat="1" applyFont="1" applyBorder="1" applyAlignment="1" applyProtection="1"/>
    <xf numFmtId="10" fontId="16" fillId="0" borderId="0" xfId="264" applyNumberFormat="1" applyFont="1" applyFill="1" applyAlignment="1" applyProtection="1">
      <alignment horizontal="left"/>
    </xf>
    <xf numFmtId="41" fontId="16" fillId="0" borderId="0" xfId="264"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64" applyNumberFormat="1" applyFont="1" applyFill="1" applyAlignment="1" applyProtection="1"/>
    <xf numFmtId="166" fontId="6" fillId="0" borderId="19" xfId="264" applyNumberFormat="1" applyFont="1" applyBorder="1" applyAlignment="1" applyProtection="1">
      <alignment horizontal="center"/>
    </xf>
    <xf numFmtId="0" fontId="6" fillId="0" borderId="6" xfId="264" applyNumberFormat="1" applyFont="1" applyBorder="1" applyAlignment="1" applyProtection="1">
      <alignment horizontal="center"/>
    </xf>
    <xf numFmtId="174" fontId="6" fillId="0" borderId="20" xfId="0" applyNumberFormat="1" applyFont="1" applyBorder="1" applyProtection="1"/>
    <xf numFmtId="41" fontId="6" fillId="0" borderId="0" xfId="264" applyNumberFormat="1" applyFont="1" applyBorder="1" applyAlignment="1" applyProtection="1"/>
    <xf numFmtId="0" fontId="16" fillId="30" borderId="0" xfId="264" applyNumberFormat="1" applyFont="1" applyFill="1" applyBorder="1" applyAlignment="1" applyProtection="1"/>
    <xf numFmtId="41" fontId="16" fillId="0" borderId="0" xfId="264" applyNumberFormat="1" applyFont="1" applyFill="1" applyAlignment="1" applyProtection="1">
      <alignment horizontal="left"/>
    </xf>
    <xf numFmtId="41" fontId="6" fillId="0" borderId="0" xfId="264" applyNumberFormat="1" applyFont="1" applyFill="1" applyBorder="1" applyAlignment="1" applyProtection="1">
      <alignment horizontal="right"/>
    </xf>
    <xf numFmtId="167" fontId="16" fillId="0" borderId="0" xfId="264" applyNumberFormat="1" applyFont="1" applyAlignment="1" applyProtection="1"/>
    <xf numFmtId="164" fontId="16" fillId="0" borderId="0" xfId="264" applyNumberFormat="1" applyFont="1" applyFill="1" applyBorder="1" applyAlignment="1" applyProtection="1">
      <alignment horizontal="left"/>
    </xf>
    <xf numFmtId="164" fontId="16" fillId="0" borderId="0" xfId="264" applyNumberFormat="1" applyFont="1" applyBorder="1" applyAlignment="1" applyProtection="1">
      <alignment horizontal="left"/>
    </xf>
    <xf numFmtId="3" fontId="16" fillId="0" borderId="0" xfId="264" applyNumberFormat="1" applyFont="1" applyAlignment="1" applyProtection="1">
      <alignment vertical="center" wrapText="1"/>
    </xf>
    <xf numFmtId="41" fontId="16" fillId="0" borderId="0" xfId="264" applyNumberFormat="1" applyFont="1" applyBorder="1" applyAlignment="1" applyProtection="1">
      <alignment vertical="center"/>
    </xf>
    <xf numFmtId="41" fontId="16" fillId="0" borderId="0" xfId="264" applyNumberFormat="1" applyFont="1" applyBorder="1" applyAlignment="1" applyProtection="1">
      <alignment horizontal="center" vertical="center"/>
    </xf>
    <xf numFmtId="41" fontId="16" fillId="0" borderId="0" xfId="264"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64" applyNumberFormat="1" applyFont="1" applyFill="1" applyBorder="1" applyAlignment="1" applyProtection="1"/>
    <xf numFmtId="41" fontId="16" fillId="0" borderId="11" xfId="264" applyNumberFormat="1" applyFont="1" applyFill="1" applyBorder="1" applyAlignment="1" applyProtection="1"/>
    <xf numFmtId="3" fontId="16" fillId="0" borderId="0" xfId="264" applyNumberFormat="1" applyFont="1" applyFill="1" applyBorder="1" applyAlignment="1" applyProtection="1"/>
    <xf numFmtId="41" fontId="16" fillId="0" borderId="0" xfId="264" applyNumberFormat="1" applyFont="1" applyFill="1" applyBorder="1" applyAlignment="1" applyProtection="1">
      <alignment horizontal="center"/>
    </xf>
    <xf numFmtId="0" fontId="16" fillId="0" borderId="0" xfId="264" applyNumberFormat="1" applyFont="1" applyFill="1" applyBorder="1" applyProtection="1"/>
    <xf numFmtId="41" fontId="17" fillId="0" borderId="0" xfId="264" applyNumberFormat="1" applyFont="1" applyFill="1" applyBorder="1" applyAlignment="1" applyProtection="1"/>
    <xf numFmtId="3" fontId="16" fillId="0" borderId="0" xfId="264" applyNumberFormat="1" applyFont="1" applyFill="1" applyBorder="1" applyAlignment="1" applyProtection="1">
      <alignment horizontal="center"/>
    </xf>
    <xf numFmtId="0" fontId="16" fillId="0" borderId="0" xfId="0" applyFont="1" applyFill="1" applyBorder="1" applyProtection="1"/>
    <xf numFmtId="0" fontId="16" fillId="0" borderId="0" xfId="264" applyNumberFormat="1" applyFont="1" applyFill="1" applyBorder="1" applyAlignment="1" applyProtection="1">
      <alignment horizontal="center"/>
    </xf>
    <xf numFmtId="10" fontId="16" fillId="0" borderId="0" xfId="264" applyNumberFormat="1" applyFont="1" applyFill="1" applyBorder="1" applyAlignment="1" applyProtection="1"/>
    <xf numFmtId="169" fontId="16" fillId="0" borderId="0" xfId="264" applyNumberFormat="1" applyFont="1" applyFill="1" applyBorder="1" applyAlignment="1" applyProtection="1"/>
    <xf numFmtId="172" fontId="16" fillId="0" borderId="0" xfId="264" applyFont="1" applyFill="1" applyBorder="1" applyAlignment="1" applyProtection="1"/>
    <xf numFmtId="169" fontId="13" fillId="0" borderId="0" xfId="264"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2" fontId="16" fillId="0" borderId="0" xfId="86" applyNumberFormat="1" applyFont="1" applyProtection="1"/>
    <xf numFmtId="10" fontId="17" fillId="0" borderId="0" xfId="0" applyNumberFormat="1" applyFont="1" applyProtection="1"/>
    <xf numFmtId="0" fontId="16" fillId="30"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5" xfId="0" applyFont="1" applyBorder="1" applyProtection="1"/>
    <xf numFmtId="0" fontId="16" fillId="0" borderId="15" xfId="0"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4" fontId="16" fillId="27" borderId="26" xfId="0" applyNumberFormat="1" applyFont="1" applyFill="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174" fontId="16" fillId="27"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4" fontId="16" fillId="27" borderId="28" xfId="0" applyNumberFormat="1" applyFont="1" applyFill="1" applyBorder="1" applyProtection="1"/>
    <xf numFmtId="10" fontId="0" fillId="0" borderId="0" xfId="273" applyNumberFormat="1" applyFont="1" applyAlignment="1" applyProtection="1">
      <alignment horizontal="right"/>
    </xf>
    <xf numFmtId="172" fontId="16" fillId="0" borderId="21" xfId="264" applyFont="1" applyBorder="1" applyAlignment="1" applyProtection="1"/>
    <xf numFmtId="172" fontId="16" fillId="0" borderId="15" xfId="264" applyFont="1" applyBorder="1" applyAlignment="1" applyProtection="1"/>
    <xf numFmtId="3" fontId="16" fillId="0" borderId="25" xfId="264" applyNumberFormat="1" applyFont="1" applyBorder="1" applyAlignment="1" applyProtection="1"/>
    <xf numFmtId="172" fontId="16" fillId="0" borderId="17" xfId="264" applyFont="1" applyBorder="1" applyAlignment="1" applyProtection="1"/>
    <xf numFmtId="3" fontId="16" fillId="0" borderId="18" xfId="264" applyNumberFormat="1" applyFont="1" applyBorder="1" applyAlignment="1" applyProtection="1"/>
    <xf numFmtId="0" fontId="16" fillId="0" borderId="0" xfId="264"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5" xfId="0" applyNumberFormat="1" applyFont="1" applyBorder="1" applyProtection="1"/>
    <xf numFmtId="166" fontId="16" fillId="0" borderId="19" xfId="264" applyNumberFormat="1" applyFont="1" applyBorder="1" applyAlignment="1" applyProtection="1">
      <alignment horizontal="center"/>
    </xf>
    <xf numFmtId="0" fontId="16" fillId="0" borderId="6" xfId="264" applyNumberFormat="1" applyFont="1" applyBorder="1" applyAlignment="1" applyProtection="1">
      <alignment horizontal="center"/>
    </xf>
    <xf numFmtId="173" fontId="16" fillId="0" borderId="6" xfId="264" quotePrefix="1" applyNumberFormat="1" applyFont="1" applyBorder="1" applyAlignment="1" applyProtection="1">
      <alignment horizontal="center"/>
    </xf>
    <xf numFmtId="41" fontId="16" fillId="0" borderId="0" xfId="264" applyNumberFormat="1" applyFont="1" applyFill="1" applyBorder="1" applyAlignment="1" applyProtection="1">
      <alignment horizontal="right"/>
    </xf>
    <xf numFmtId="10" fontId="16" fillId="0" borderId="0" xfId="273" applyNumberFormat="1" applyFont="1" applyFill="1" applyBorder="1" applyAlignment="1" applyProtection="1"/>
    <xf numFmtId="0" fontId="125" fillId="26"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13" fillId="0" borderId="0" xfId="264" applyNumberFormat="1" applyFont="1" applyFill="1" applyBorder="1" applyAlignment="1" applyProtection="1">
      <alignment vertical="center"/>
    </xf>
    <xf numFmtId="0" fontId="105" fillId="0" borderId="0" xfId="0" applyFont="1" applyProtection="1"/>
    <xf numFmtId="0" fontId="13" fillId="0" borderId="0" xfId="264" applyNumberFormat="1" applyFont="1" applyFill="1" applyBorder="1" applyAlignment="1" applyProtection="1">
      <alignment vertical="top"/>
    </xf>
    <xf numFmtId="0" fontId="26" fillId="0" borderId="0" xfId="0" applyFont="1" applyAlignment="1" applyProtection="1"/>
    <xf numFmtId="0" fontId="109" fillId="0" borderId="0" xfId="266" applyFont="1" applyAlignment="1" applyProtection="1"/>
    <xf numFmtId="0" fontId="7" fillId="0" borderId="0" xfId="266" applyProtection="1"/>
    <xf numFmtId="44" fontId="109" fillId="0" borderId="0" xfId="119" applyFont="1" applyAlignment="1" applyProtection="1"/>
    <xf numFmtId="0" fontId="110" fillId="0" borderId="0" xfId="266" applyFont="1" applyProtection="1"/>
    <xf numFmtId="0" fontId="111" fillId="0" borderId="0" xfId="266" applyFont="1" applyAlignment="1" applyProtection="1">
      <alignment horizontal="center"/>
    </xf>
    <xf numFmtId="0" fontId="112" fillId="0" borderId="0" xfId="266" applyFont="1" applyProtection="1"/>
    <xf numFmtId="176" fontId="111" fillId="0" borderId="0" xfId="266" applyNumberFormat="1" applyFont="1" applyAlignment="1" applyProtection="1">
      <alignment horizontal="center"/>
    </xf>
    <xf numFmtId="0" fontId="111" fillId="0" borderId="0" xfId="266" applyFont="1" applyProtection="1"/>
    <xf numFmtId="176" fontId="111" fillId="0" borderId="0" xfId="266" quotePrefix="1" applyNumberFormat="1" applyFont="1" applyAlignment="1" applyProtection="1">
      <alignment horizontal="center"/>
    </xf>
    <xf numFmtId="195" fontId="111" fillId="0" borderId="0" xfId="266" quotePrefix="1" applyNumberFormat="1" applyFont="1" applyAlignment="1" applyProtection="1">
      <alignment horizontal="center"/>
    </xf>
    <xf numFmtId="0" fontId="113" fillId="0" borderId="0" xfId="266" applyFont="1" applyProtection="1"/>
    <xf numFmtId="0" fontId="114" fillId="0" borderId="16" xfId="266" applyFont="1" applyBorder="1" applyProtection="1"/>
    <xf numFmtId="0" fontId="110" fillId="0" borderId="16" xfId="266" applyFont="1" applyBorder="1" applyProtection="1"/>
    <xf numFmtId="0" fontId="7" fillId="0" borderId="0" xfId="266" applyFont="1" applyBorder="1" applyAlignment="1" applyProtection="1">
      <alignment horizontal="left"/>
    </xf>
    <xf numFmtId="0" fontId="110" fillId="0" borderId="0" xfId="266" applyFont="1" applyBorder="1" applyProtection="1"/>
    <xf numFmtId="0" fontId="7" fillId="0" borderId="0" xfId="266" applyFont="1" applyBorder="1" applyProtection="1"/>
    <xf numFmtId="0" fontId="115" fillId="0" borderId="0" xfId="266" applyFont="1" applyProtection="1"/>
    <xf numFmtId="176" fontId="7" fillId="0" borderId="0" xfId="266" quotePrefix="1" applyNumberFormat="1" applyAlignment="1" applyProtection="1">
      <alignment horizontal="right"/>
    </xf>
    <xf numFmtId="0" fontId="115" fillId="0" borderId="0" xfId="266" applyFont="1" applyAlignment="1" applyProtection="1">
      <alignment horizontal="right"/>
    </xf>
    <xf numFmtId="0" fontId="116" fillId="0" borderId="0" xfId="266" applyFont="1" applyProtection="1"/>
    <xf numFmtId="0" fontId="117" fillId="0" borderId="0" xfId="266" applyFont="1" applyProtection="1"/>
    <xf numFmtId="0" fontId="46" fillId="0" borderId="0" xfId="266" applyFont="1" applyProtection="1"/>
    <xf numFmtId="0" fontId="9" fillId="0" borderId="0" xfId="263" applyFont="1" applyProtection="1"/>
    <xf numFmtId="0" fontId="6" fillId="0" borderId="0" xfId="263" applyProtection="1"/>
    <xf numFmtId="0" fontId="6" fillId="0" borderId="0" xfId="263"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9"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9"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4"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9" fillId="0" borderId="0" xfId="0" applyNumberFormat="1" applyFont="1" applyFill="1" applyProtection="1"/>
    <xf numFmtId="173" fontId="9" fillId="0" borderId="0" xfId="88" applyNumberFormat="1" applyFont="1" applyFill="1" applyProtection="1"/>
    <xf numFmtId="173" fontId="9" fillId="0" borderId="0" xfId="120" applyNumberFormat="1" applyFont="1" applyFill="1" applyProtection="1"/>
    <xf numFmtId="0" fontId="0" fillId="0" borderId="0" xfId="0" applyFill="1" applyAlignment="1" applyProtection="1">
      <alignment horizontal="left"/>
    </xf>
    <xf numFmtId="0" fontId="23" fillId="31" borderId="0" xfId="86" applyNumberFormat="1" applyFont="1" applyFill="1" applyAlignment="1" applyProtection="1">
      <protection locked="0"/>
    </xf>
    <xf numFmtId="173" fontId="23" fillId="31" borderId="0" xfId="86" applyNumberFormat="1" applyFont="1" applyFill="1" applyAlignment="1" applyProtection="1">
      <alignment horizontal="right"/>
      <protection locked="0"/>
    </xf>
    <xf numFmtId="41" fontId="23" fillId="31" borderId="0" xfId="264" applyNumberFormat="1" applyFont="1" applyFill="1" applyAlignment="1" applyProtection="1">
      <protection locked="0"/>
    </xf>
    <xf numFmtId="41" fontId="23" fillId="31" borderId="6" xfId="264" applyNumberFormat="1" applyFont="1" applyFill="1" applyBorder="1" applyAlignment="1" applyProtection="1">
      <protection locked="0"/>
    </xf>
    <xf numFmtId="3" fontId="23" fillId="31" borderId="0" xfId="264" applyNumberFormat="1" applyFont="1" applyFill="1" applyAlignment="1" applyProtection="1">
      <protection locked="0"/>
    </xf>
    <xf numFmtId="3" fontId="23" fillId="31" borderId="6" xfId="264" applyNumberFormat="1" applyFont="1" applyFill="1" applyBorder="1" applyAlignment="1" applyProtection="1">
      <protection locked="0"/>
    </xf>
    <xf numFmtId="10" fontId="23" fillId="31" borderId="0" xfId="273" applyNumberFormat="1" applyFont="1" applyFill="1" applyAlignment="1" applyProtection="1">
      <protection locked="0"/>
    </xf>
    <xf numFmtId="173" fontId="12" fillId="31" borderId="0" xfId="89" applyNumberFormat="1" applyFont="1" applyFill="1" applyBorder="1" applyAlignment="1" applyProtection="1">
      <alignment horizontal="right"/>
      <protection locked="0"/>
    </xf>
    <xf numFmtId="0" fontId="36" fillId="31" borderId="0" xfId="215" applyFont="1" applyFill="1" applyBorder="1" applyProtection="1">
      <protection locked="0"/>
    </xf>
    <xf numFmtId="173" fontId="12" fillId="31" borderId="11" xfId="89" applyNumberFormat="1" applyFont="1" applyFill="1" applyBorder="1" applyAlignment="1" applyProtection="1">
      <alignment horizontal="right"/>
      <protection locked="0"/>
    </xf>
    <xf numFmtId="41" fontId="12" fillId="31" borderId="0" xfId="254" applyNumberFormat="1" applyFont="1" applyFill="1" applyProtection="1">
      <protection locked="0"/>
    </xf>
    <xf numFmtId="41" fontId="12" fillId="31" borderId="11" xfId="254" applyNumberFormat="1" applyFont="1" applyFill="1" applyBorder="1" applyProtection="1">
      <protection locked="0"/>
    </xf>
    <xf numFmtId="37" fontId="12" fillId="31" borderId="0" xfId="0" applyNumberFormat="1" applyFont="1" applyFill="1" applyProtection="1">
      <protection locked="0"/>
    </xf>
    <xf numFmtId="3" fontId="67" fillId="31" borderId="0" xfId="0" applyNumberFormat="1" applyFont="1" applyFill="1" applyProtection="1">
      <protection locked="0"/>
    </xf>
    <xf numFmtId="3" fontId="126" fillId="31" borderId="0" xfId="0" applyNumberFormat="1" applyFont="1" applyFill="1" applyProtection="1">
      <protection locked="0"/>
    </xf>
    <xf numFmtId="37" fontId="126" fillId="31" borderId="0" xfId="0" applyNumberFormat="1" applyFont="1" applyFill="1" applyProtection="1">
      <protection locked="0"/>
    </xf>
    <xf numFmtId="1" fontId="67" fillId="31" borderId="0" xfId="0" applyNumberFormat="1" applyFont="1" applyFill="1" applyAlignment="1" applyProtection="1">
      <alignment horizontal="left"/>
      <protection locked="0"/>
    </xf>
    <xf numFmtId="38" fontId="67" fillId="0" borderId="15"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1" borderId="0" xfId="117" applyNumberFormat="1" applyFont="1" applyFill="1" applyProtection="1">
      <protection locked="0"/>
    </xf>
    <xf numFmtId="0" fontId="23" fillId="31" borderId="0" xfId="254" applyFont="1" applyFill="1" applyAlignment="1" applyProtection="1">
      <alignment horizontal="center"/>
      <protection locked="0"/>
    </xf>
    <xf numFmtId="3" fontId="23" fillId="31" borderId="0" xfId="0" applyNumberFormat="1" applyFont="1" applyFill="1" applyAlignment="1" applyProtection="1">
      <protection locked="0"/>
    </xf>
    <xf numFmtId="41" fontId="23" fillId="31" borderId="0" xfId="254" applyNumberFormat="1" applyFont="1" applyFill="1" applyBorder="1" applyProtection="1">
      <protection locked="0"/>
    </xf>
    <xf numFmtId="38" fontId="12" fillId="31" borderId="0" xfId="0" applyNumberFormat="1" applyFont="1" applyFill="1" applyBorder="1" applyProtection="1">
      <protection locked="0"/>
    </xf>
    <xf numFmtId="37" fontId="12" fillId="31" borderId="0" xfId="0" applyNumberFormat="1" applyFont="1" applyFill="1" applyBorder="1" applyProtection="1">
      <protection locked="0"/>
    </xf>
    <xf numFmtId="173" fontId="81" fillId="31" borderId="0" xfId="265" applyNumberFormat="1" applyFont="1" applyFill="1" applyBorder="1" applyProtection="1">
      <protection locked="0"/>
    </xf>
    <xf numFmtId="0" fontId="75" fillId="31" borderId="0" xfId="265" applyFont="1" applyFill="1" applyAlignment="1" applyProtection="1">
      <alignment horizontal="center"/>
      <protection locked="0"/>
    </xf>
    <xf numFmtId="0" fontId="12" fillId="31" borderId="0" xfId="86" applyNumberFormat="1" applyFont="1" applyFill="1" applyAlignment="1" applyProtection="1">
      <protection locked="0"/>
    </xf>
    <xf numFmtId="173" fontId="6" fillId="31" borderId="6" xfId="264" applyNumberFormat="1" applyFont="1" applyFill="1" applyBorder="1" applyAlignment="1" applyProtection="1">
      <alignment horizontal="center"/>
      <protection locked="0"/>
    </xf>
    <xf numFmtId="0" fontId="23" fillId="31" borderId="0" xfId="86" applyNumberFormat="1" applyFont="1" applyFill="1" applyAlignment="1" applyProtection="1">
      <alignment horizontal="left"/>
      <protection locked="0"/>
    </xf>
    <xf numFmtId="0" fontId="161" fillId="31" borderId="18" xfId="0" applyFont="1" applyFill="1" applyBorder="1" applyAlignment="1" applyProtection="1">
      <alignment horizontal="right"/>
      <protection locked="0"/>
    </xf>
    <xf numFmtId="0" fontId="12" fillId="31" borderId="20" xfId="0" applyFont="1" applyFill="1" applyBorder="1" applyAlignment="1" applyProtection="1">
      <alignment horizontal="right"/>
      <protection locked="0"/>
    </xf>
    <xf numFmtId="173" fontId="12" fillId="31" borderId="18" xfId="0" applyNumberFormat="1" applyFont="1" applyFill="1" applyBorder="1" applyAlignment="1" applyProtection="1">
      <alignment horizontal="right"/>
      <protection locked="0"/>
    </xf>
    <xf numFmtId="174" fontId="12" fillId="31" borderId="26" xfId="0" applyNumberFormat="1" applyFont="1" applyFill="1" applyBorder="1" applyProtection="1">
      <protection locked="0"/>
    </xf>
    <xf numFmtId="174" fontId="12" fillId="31" borderId="27" xfId="0" applyNumberFormat="1" applyFont="1" applyFill="1" applyBorder="1" applyProtection="1">
      <protection locked="0"/>
    </xf>
    <xf numFmtId="174" fontId="12" fillId="31" borderId="28" xfId="0" applyNumberFormat="1" applyFont="1" applyFill="1" applyBorder="1" applyProtection="1">
      <protection locked="0"/>
    </xf>
    <xf numFmtId="174" fontId="16" fillId="31" borderId="0" xfId="0" applyNumberFormat="1" applyFont="1" applyFill="1" applyBorder="1" applyProtection="1">
      <protection locked="0"/>
    </xf>
    <xf numFmtId="0" fontId="73" fillId="31" borderId="0" xfId="0" applyFont="1" applyFill="1" applyAlignment="1" applyProtection="1">
      <alignment horizontal="left"/>
      <protection locked="0"/>
    </xf>
    <xf numFmtId="0" fontId="12" fillId="31" borderId="18" xfId="0" applyFont="1" applyFill="1" applyBorder="1" applyAlignment="1" applyProtection="1">
      <alignment horizontal="right"/>
      <protection locked="0"/>
    </xf>
    <xf numFmtId="0" fontId="21" fillId="0" borderId="0" xfId="254" applyFont="1" applyAlignment="1">
      <alignment wrapText="1"/>
    </xf>
    <xf numFmtId="173" fontId="12" fillId="31" borderId="0" xfId="88" applyNumberFormat="1" applyFont="1" applyFill="1" applyBorder="1" applyProtection="1">
      <protection locked="0"/>
    </xf>
    <xf numFmtId="173" fontId="24" fillId="31" borderId="0" xfId="86" applyNumberFormat="1" applyFont="1" applyFill="1" applyProtection="1">
      <protection locked="0"/>
    </xf>
    <xf numFmtId="191" fontId="24" fillId="31" borderId="0" xfId="0" applyNumberFormat="1" applyFont="1" applyFill="1" applyProtection="1">
      <protection locked="0"/>
    </xf>
    <xf numFmtId="0" fontId="0" fillId="31" borderId="0" xfId="0" applyFill="1" applyAlignment="1" applyProtection="1">
      <alignment horizontal="center"/>
      <protection locked="0"/>
    </xf>
    <xf numFmtId="0" fontId="24" fillId="31" borderId="0" xfId="0" applyFont="1" applyFill="1" applyProtection="1">
      <protection locked="0"/>
    </xf>
    <xf numFmtId="170" fontId="122" fillId="31" borderId="28" xfId="0" applyNumberFormat="1" applyFont="1" applyFill="1" applyBorder="1" applyAlignment="1" applyProtection="1">
      <alignment horizontal="center"/>
      <protection locked="0"/>
    </xf>
    <xf numFmtId="176" fontId="122" fillId="31" borderId="0" xfId="274" applyNumberFormat="1" applyFont="1" applyFill="1" applyProtection="1">
      <protection locked="0"/>
    </xf>
    <xf numFmtId="199" fontId="162" fillId="30" borderId="0" xfId="0" applyNumberFormat="1" applyFont="1" applyFill="1" applyAlignment="1">
      <alignment horizontal="right"/>
    </xf>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173" fontId="12" fillId="0" borderId="0" xfId="117" applyNumberFormat="1" applyFont="1" applyFill="1" applyProtection="1">
      <protection locked="0"/>
    </xf>
    <xf numFmtId="0" fontId="130" fillId="0" borderId="0" xfId="0" applyFont="1" applyAlignment="1">
      <alignment vertical="center"/>
    </xf>
    <xf numFmtId="0" fontId="83" fillId="0" borderId="0" xfId="215" applyNumberFormat="1" applyFont="1" applyFill="1" applyBorder="1" applyAlignment="1">
      <alignment horizontal="center"/>
    </xf>
    <xf numFmtId="173" fontId="81" fillId="0" borderId="0" xfId="265" applyNumberFormat="1" applyFont="1" applyFill="1" applyBorder="1" applyProtection="1">
      <protection locked="0"/>
    </xf>
    <xf numFmtId="0" fontId="75" fillId="0" borderId="0" xfId="265" applyFont="1" applyFill="1" applyAlignment="1" applyProtection="1">
      <alignment horizontal="center"/>
      <protection locked="0"/>
    </xf>
    <xf numFmtId="0" fontId="131" fillId="0" borderId="0" xfId="0" applyNumberFormat="1" applyFont="1" applyAlignment="1">
      <alignment horizontal="center"/>
    </xf>
    <xf numFmtId="172" fontId="16" fillId="0" borderId="0" xfId="260" applyFont="1" applyAlignment="1"/>
    <xf numFmtId="173" fontId="16" fillId="0" borderId="0" xfId="0" applyNumberFormat="1" applyFont="1" applyAlignment="1"/>
    <xf numFmtId="0" fontId="16" fillId="0" borderId="0" xfId="267"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173" fontId="12" fillId="31" borderId="33" xfId="89" applyNumberFormat="1" applyFont="1" applyFill="1" applyBorder="1" applyAlignment="1">
      <alignment horizontal="right"/>
    </xf>
    <xf numFmtId="173" fontId="12" fillId="31" borderId="0" xfId="89" applyNumberFormat="1" applyFont="1" applyFill="1" applyBorder="1" applyAlignment="1">
      <alignment horizontal="right"/>
    </xf>
    <xf numFmtId="173" fontId="12" fillId="31" borderId="34" xfId="89" applyNumberFormat="1" applyFont="1" applyFill="1" applyBorder="1" applyAlignment="1">
      <alignment horizontal="right"/>
    </xf>
    <xf numFmtId="0" fontId="16" fillId="0" borderId="11" xfId="267" applyFont="1" applyBorder="1"/>
    <xf numFmtId="0" fontId="16" fillId="0" borderId="35" xfId="0" applyNumberFormat="1" applyFont="1" applyBorder="1" applyAlignment="1">
      <alignment horizontal="center"/>
    </xf>
    <xf numFmtId="0" fontId="16" fillId="0" borderId="0" xfId="267" applyFont="1" applyBorder="1"/>
    <xf numFmtId="0" fontId="16" fillId="0" borderId="34" xfId="0" applyNumberFormat="1" applyFont="1" applyBorder="1" applyAlignment="1">
      <alignment horizontal="center"/>
    </xf>
    <xf numFmtId="0" fontId="16" fillId="0" borderId="0" xfId="267" quotePrefix="1" applyFont="1" applyBorder="1" applyAlignment="1">
      <alignment horizontal="left"/>
    </xf>
    <xf numFmtId="173" fontId="12" fillId="31" borderId="36" xfId="89" applyNumberFormat="1" applyFont="1" applyFill="1" applyBorder="1" applyAlignment="1">
      <alignment horizontal="right"/>
    </xf>
    <xf numFmtId="0" fontId="131" fillId="0" borderId="0" xfId="0" applyFont="1" applyAlignment="1"/>
    <xf numFmtId="3" fontId="16" fillId="0" borderId="37" xfId="215" applyNumberFormat="1" applyFont="1" applyFill="1" applyBorder="1" applyAlignment="1">
      <alignment horizontal="center" wrapText="1"/>
    </xf>
    <xf numFmtId="3" fontId="16" fillId="0" borderId="11" xfId="215" applyNumberFormat="1" applyFont="1" applyFill="1" applyBorder="1" applyAlignment="1">
      <alignment horizontal="center" wrapText="1"/>
    </xf>
    <xf numFmtId="3" fontId="16" fillId="0" borderId="35" xfId="215" applyNumberFormat="1" applyFont="1" applyFill="1" applyBorder="1" applyAlignment="1">
      <alignment horizontal="center" wrapText="1"/>
    </xf>
    <xf numFmtId="0" fontId="13" fillId="0" borderId="0" xfId="267" applyFont="1" applyBorder="1" applyAlignment="1">
      <alignment horizontal="center"/>
    </xf>
    <xf numFmtId="0" fontId="13" fillId="0" borderId="33" xfId="267" applyFont="1" applyBorder="1" applyAlignment="1">
      <alignment horizontal="center"/>
    </xf>
    <xf numFmtId="0" fontId="13" fillId="0" borderId="34" xfId="267" applyFont="1" applyBorder="1" applyAlignment="1">
      <alignment horizontal="center"/>
    </xf>
    <xf numFmtId="0" fontId="13" fillId="0" borderId="33" xfId="267" applyFont="1" applyBorder="1" applyAlignment="1">
      <alignment horizontal="center" wrapText="1"/>
    </xf>
    <xf numFmtId="0" fontId="13" fillId="0" borderId="0" xfId="267" applyFont="1" applyBorder="1" applyAlignment="1">
      <alignment horizontal="center" wrapText="1"/>
    </xf>
    <xf numFmtId="0" fontId="13" fillId="0" borderId="34" xfId="267" applyFont="1" applyBorder="1" applyAlignment="1">
      <alignment horizontal="center" wrapText="1"/>
    </xf>
    <xf numFmtId="0" fontId="16" fillId="0" borderId="34" xfId="0" applyNumberFormat="1" applyFont="1" applyBorder="1" applyAlignment="1">
      <alignment horizontal="center" wrapText="1"/>
    </xf>
    <xf numFmtId="0" fontId="16" fillId="0" borderId="38" xfId="0" applyFont="1" applyBorder="1" applyAlignment="1"/>
    <xf numFmtId="0" fontId="16" fillId="0" borderId="2" xfId="0" applyFont="1" applyBorder="1" applyAlignment="1"/>
    <xf numFmtId="0" fontId="16" fillId="0" borderId="36" xfId="0" applyFont="1" applyBorder="1" applyAlignment="1"/>
    <xf numFmtId="0" fontId="13" fillId="0" borderId="2" xfId="267" applyFont="1" applyBorder="1" applyAlignment="1">
      <alignment horizontal="centerContinuous" wrapText="1"/>
    </xf>
    <xf numFmtId="0" fontId="16" fillId="0" borderId="36" xfId="0" applyNumberFormat="1" applyFont="1" applyBorder="1" applyAlignment="1">
      <alignment horizontal="center"/>
    </xf>
    <xf numFmtId="37" fontId="16" fillId="0" borderId="0" xfId="267" applyNumberFormat="1" applyFont="1"/>
    <xf numFmtId="173" fontId="16" fillId="0" borderId="31" xfId="89" applyNumberFormat="1" applyFont="1" applyBorder="1"/>
    <xf numFmtId="173" fontId="16" fillId="0" borderId="14" xfId="89" applyNumberFormat="1" applyFont="1" applyBorder="1"/>
    <xf numFmtId="0" fontId="16" fillId="0" borderId="39" xfId="267" applyFont="1" applyBorder="1" applyAlignment="1">
      <alignment horizontal="right"/>
    </xf>
    <xf numFmtId="0" fontId="16" fillId="0" borderId="40" xfId="0" applyNumberFormat="1" applyFont="1" applyBorder="1" applyAlignment="1">
      <alignment horizontal="center"/>
    </xf>
    <xf numFmtId="0" fontId="16" fillId="0" borderId="37" xfId="267" applyFont="1" applyBorder="1"/>
    <xf numFmtId="0" fontId="16" fillId="0" borderId="33" xfId="267" applyFont="1" applyBorder="1"/>
    <xf numFmtId="0" fontId="16" fillId="0" borderId="33" xfId="267" quotePrefix="1" applyFont="1" applyBorder="1" applyAlignment="1">
      <alignment horizontal="left"/>
    </xf>
    <xf numFmtId="3" fontId="28" fillId="0" borderId="37" xfId="215" applyNumberFormat="1" applyFont="1" applyFill="1" applyBorder="1" applyAlignment="1">
      <alignment horizontal="center" wrapText="1"/>
    </xf>
    <xf numFmtId="3" fontId="28" fillId="0" borderId="11" xfId="215" applyNumberFormat="1" applyFont="1" applyFill="1" applyBorder="1" applyAlignment="1">
      <alignment horizontal="center" wrapText="1"/>
    </xf>
    <xf numFmtId="0" fontId="13" fillId="0" borderId="33" xfId="253" applyFont="1" applyFill="1" applyBorder="1" applyAlignment="1">
      <alignment horizontal="center" wrapText="1"/>
    </xf>
    <xf numFmtId="0" fontId="16" fillId="0" borderId="0" xfId="0" applyFont="1" applyAlignment="1">
      <alignment wrapText="1"/>
    </xf>
    <xf numFmtId="0" fontId="13" fillId="0" borderId="38" xfId="267" applyFont="1" applyBorder="1" applyAlignment="1">
      <alignment horizontal="center" wrapText="1"/>
    </xf>
    <xf numFmtId="0" fontId="16" fillId="0" borderId="36" xfId="0" applyNumberFormat="1" applyFont="1" applyBorder="1" applyAlignment="1">
      <alignment horizontal="center" wrapText="1"/>
    </xf>
    <xf numFmtId="0" fontId="13" fillId="0" borderId="0" xfId="267" applyFont="1" applyAlignment="1">
      <alignment horizontal="centerContinuous"/>
    </xf>
    <xf numFmtId="0" fontId="16" fillId="0" borderId="0" xfId="193" applyFont="1"/>
    <xf numFmtId="0" fontId="13" fillId="0" borderId="0" xfId="267" applyFont="1" applyAlignment="1">
      <alignment horizontal="center"/>
    </xf>
    <xf numFmtId="0" fontId="16" fillId="0" borderId="0" xfId="267" applyFont="1" applyFill="1" applyAlignment="1">
      <alignment horizontal="left"/>
    </xf>
    <xf numFmtId="0" fontId="16" fillId="0" borderId="0" xfId="0" applyFont="1" applyAlignment="1">
      <alignment horizontal="right"/>
    </xf>
    <xf numFmtId="0" fontId="16" fillId="0" borderId="0" xfId="215" applyFont="1" applyFill="1" applyBorder="1" applyAlignment="1">
      <alignment horizontal="left"/>
    </xf>
    <xf numFmtId="0" fontId="21" fillId="0" borderId="0" xfId="215" applyFont="1" applyBorder="1" applyAlignment="1">
      <alignment horizontal="center" vertical="center"/>
    </xf>
    <xf numFmtId="0" fontId="21" fillId="0" borderId="0" xfId="254" applyFont="1" applyAlignment="1">
      <alignment horizontal="center" vertical="center" wrapText="1"/>
    </xf>
    <xf numFmtId="0" fontId="21" fillId="0" borderId="0" xfId="215" quotePrefix="1" applyFont="1" applyBorder="1" applyAlignment="1">
      <alignment horizontal="center" vertical="center" wrapText="1"/>
    </xf>
    <xf numFmtId="0" fontId="21" fillId="0" borderId="0" xfId="215"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96" fillId="0" borderId="0" xfId="267" applyFont="1" applyAlignment="1">
      <alignment horizontal="centerContinuous"/>
    </xf>
    <xf numFmtId="0" fontId="19" fillId="0" borderId="0" xfId="267" applyFont="1" applyFill="1" applyAlignment="1">
      <alignment horizontal="left"/>
    </xf>
    <xf numFmtId="0" fontId="96" fillId="0" borderId="0" xfId="267" applyFont="1" applyAlignment="1">
      <alignment horizontal="center"/>
    </xf>
    <xf numFmtId="0" fontId="13" fillId="0" borderId="41" xfId="267" applyFont="1" applyBorder="1" applyAlignment="1">
      <alignment horizontal="center" wrapText="1"/>
    </xf>
    <xf numFmtId="0" fontId="19" fillId="0" borderId="0" xfId="0" applyFont="1" applyAlignment="1">
      <alignment wrapText="1"/>
    </xf>
    <xf numFmtId="0" fontId="13" fillId="0" borderId="10" xfId="267" applyFont="1" applyBorder="1" applyAlignment="1">
      <alignment horizontal="center"/>
    </xf>
    <xf numFmtId="0" fontId="132" fillId="0" borderId="0" xfId="0" applyFont="1" applyAlignment="1"/>
    <xf numFmtId="3" fontId="28" fillId="0" borderId="35" xfId="215" applyNumberFormat="1" applyFont="1" applyFill="1" applyBorder="1" applyAlignment="1">
      <alignment horizontal="center" wrapText="1"/>
    </xf>
    <xf numFmtId="3" fontId="28" fillId="0" borderId="42" xfId="215" applyNumberFormat="1" applyFont="1" applyFill="1" applyBorder="1" applyAlignment="1">
      <alignment wrapText="1"/>
    </xf>
    <xf numFmtId="173" fontId="12" fillId="29" borderId="0" xfId="110" applyNumberFormat="1" applyFont="1" applyFill="1" applyAlignment="1" applyProtection="1">
      <protection locked="0"/>
    </xf>
    <xf numFmtId="41" fontId="16" fillId="0" borderId="10" xfId="267" applyNumberFormat="1" applyFont="1" applyFill="1" applyBorder="1"/>
    <xf numFmtId="173" fontId="16" fillId="0" borderId="43" xfId="88" applyNumberFormat="1" applyFont="1" applyBorder="1"/>
    <xf numFmtId="3" fontId="28" fillId="0" borderId="42" xfId="215" applyNumberFormat="1" applyFont="1" applyFill="1" applyBorder="1" applyAlignment="1">
      <alignment horizontal="center" wrapText="1"/>
    </xf>
    <xf numFmtId="0" fontId="19" fillId="0" borderId="0" xfId="267" applyFont="1"/>
    <xf numFmtId="37" fontId="19" fillId="0" borderId="0" xfId="267" applyNumberFormat="1" applyFont="1"/>
    <xf numFmtId="172" fontId="19" fillId="0" borderId="0" xfId="260" applyFont="1" applyAlignment="1"/>
    <xf numFmtId="0" fontId="16" fillId="0" borderId="0" xfId="256" applyFont="1" applyFill="1" applyAlignment="1" applyProtection="1">
      <alignment vertical="top"/>
    </xf>
    <xf numFmtId="0" fontId="132" fillId="0" borderId="0" xfId="0" applyNumberFormat="1" applyFont="1" applyAlignment="1">
      <alignment horizontal="center"/>
    </xf>
    <xf numFmtId="0" fontId="95" fillId="0" borderId="0" xfId="257" applyFont="1" applyFill="1" applyProtection="1"/>
    <xf numFmtId="0" fontId="96" fillId="0" borderId="0" xfId="0" applyFont="1" applyAlignment="1">
      <alignment horizontal="center"/>
    </xf>
    <xf numFmtId="0" fontId="96" fillId="0" borderId="0" xfId="0" quotePrefix="1" applyFont="1" applyAlignment="1">
      <alignment horizontal="center"/>
    </xf>
    <xf numFmtId="0" fontId="13" fillId="0" borderId="0" xfId="257" applyFont="1" applyFill="1" applyAlignment="1" applyProtection="1">
      <alignment horizontal="left"/>
    </xf>
    <xf numFmtId="173" fontId="16" fillId="0" borderId="0" xfId="88" applyNumberFormat="1" applyFont="1" applyFill="1" applyProtection="1"/>
    <xf numFmtId="0" fontId="16" fillId="0" borderId="0" xfId="257" applyFont="1" applyFill="1" applyProtection="1"/>
    <xf numFmtId="0" fontId="16" fillId="0" borderId="0" xfId="187"/>
    <xf numFmtId="0" fontId="16" fillId="0" borderId="0" xfId="257" applyFont="1" applyFill="1" applyAlignment="1" applyProtection="1">
      <alignment horizontal="left"/>
    </xf>
    <xf numFmtId="173" fontId="12" fillId="31" borderId="0" xfId="88" applyNumberFormat="1" applyFont="1" applyFill="1" applyProtection="1">
      <protection locked="0"/>
    </xf>
    <xf numFmtId="0" fontId="16" fillId="0" borderId="0" xfId="256" applyFont="1" applyFill="1" applyAlignment="1" applyProtection="1">
      <alignment horizontal="left"/>
    </xf>
    <xf numFmtId="173" fontId="12" fillId="0" borderId="0" xfId="88" applyNumberFormat="1" applyFont="1" applyFill="1" applyProtection="1">
      <protection locked="0"/>
    </xf>
    <xf numFmtId="0" fontId="16" fillId="0" borderId="0" xfId="187" applyProtection="1"/>
    <xf numFmtId="10" fontId="16" fillId="0" borderId="0" xfId="274" applyNumberFormat="1" applyFont="1" applyFill="1" applyBorder="1" applyProtection="1"/>
    <xf numFmtId="173" fontId="12" fillId="29" borderId="6" xfId="88" applyNumberFormat="1" applyFont="1" applyFill="1" applyBorder="1" applyAlignment="1" applyProtection="1">
      <protection locked="0"/>
    </xf>
    <xf numFmtId="10" fontId="13" fillId="0" borderId="0" xfId="274" applyNumberFormat="1" applyFont="1" applyFill="1" applyBorder="1" applyProtection="1"/>
    <xf numFmtId="0" fontId="13" fillId="0" borderId="0" xfId="257" applyFont="1" applyFill="1" applyProtection="1"/>
    <xf numFmtId="173" fontId="16" fillId="0" borderId="0" xfId="274" applyNumberFormat="1" applyFont="1" applyFill="1" applyBorder="1" applyProtection="1"/>
    <xf numFmtId="10" fontId="13" fillId="0" borderId="44" xfId="274" applyNumberFormat="1" applyFont="1" applyFill="1" applyBorder="1" applyProtection="1"/>
    <xf numFmtId="0" fontId="104" fillId="0" borderId="0" xfId="187" applyFont="1" applyAlignment="1" applyProtection="1">
      <alignment horizontal="center"/>
    </xf>
    <xf numFmtId="0" fontId="19" fillId="0" borderId="0" xfId="257" applyFont="1" applyFill="1" applyProtection="1"/>
    <xf numFmtId="0" fontId="19" fillId="0" borderId="0" xfId="257" applyFont="1" applyProtection="1"/>
    <xf numFmtId="41" fontId="13" fillId="0" borderId="0" xfId="257" applyNumberFormat="1" applyFont="1" applyFill="1" applyBorder="1" applyAlignment="1" applyProtection="1">
      <alignment horizontal="center" wrapText="1"/>
    </xf>
    <xf numFmtId="0" fontId="12" fillId="31" borderId="0" xfId="257" applyFont="1" applyFill="1" applyProtection="1">
      <protection locked="0"/>
    </xf>
    <xf numFmtId="173" fontId="19" fillId="0" borderId="0" xfId="257" applyNumberFormat="1" applyFont="1" applyFill="1" applyProtection="1"/>
    <xf numFmtId="198" fontId="12" fillId="31" borderId="0" xfId="257" applyNumberFormat="1" applyFont="1" applyFill="1" applyProtection="1">
      <protection locked="0"/>
    </xf>
    <xf numFmtId="37" fontId="12" fillId="31" borderId="0" xfId="257" applyNumberFormat="1" applyFont="1" applyFill="1" applyProtection="1">
      <protection locked="0"/>
    </xf>
    <xf numFmtId="173" fontId="12" fillId="31" borderId="0" xfId="257" applyNumberFormat="1" applyFont="1" applyFill="1" applyProtection="1">
      <protection locked="0"/>
    </xf>
    <xf numFmtId="0" fontId="86" fillId="31" borderId="0" xfId="257" applyFont="1" applyFill="1" applyProtection="1">
      <protection locked="0"/>
    </xf>
    <xf numFmtId="0" fontId="16" fillId="0" borderId="11" xfId="0" applyFont="1" applyBorder="1" applyProtection="1"/>
    <xf numFmtId="0" fontId="19" fillId="0" borderId="11" xfId="257" applyFont="1" applyFill="1" applyBorder="1" applyProtection="1"/>
    <xf numFmtId="0" fontId="16" fillId="30" borderId="0" xfId="257" applyFont="1" applyFill="1" applyAlignment="1" applyProtection="1">
      <alignment horizontal="left"/>
    </xf>
    <xf numFmtId="41" fontId="16" fillId="0" borderId="0" xfId="274" applyNumberFormat="1" applyFont="1" applyFill="1" applyBorder="1" applyProtection="1"/>
    <xf numFmtId="173" fontId="19" fillId="0" borderId="0" xfId="257" applyNumberFormat="1" applyFont="1" applyProtection="1"/>
    <xf numFmtId="186" fontId="16" fillId="0" borderId="0" xfId="88" applyNumberFormat="1" applyFont="1" applyFill="1" applyBorder="1" applyProtection="1"/>
    <xf numFmtId="10" fontId="19" fillId="0" borderId="0" xfId="274"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5" fillId="0" borderId="0" xfId="257" applyFont="1" applyFill="1" applyAlignment="1" applyProtection="1">
      <alignment horizontal="left"/>
    </xf>
    <xf numFmtId="0" fontId="19" fillId="0" borderId="0" xfId="257" applyFont="1" applyFill="1" applyAlignment="1" applyProtection="1">
      <alignment horizontal="left"/>
    </xf>
    <xf numFmtId="0" fontId="21" fillId="0" borderId="0" xfId="257" applyFont="1" applyFill="1" applyAlignment="1" applyProtection="1">
      <alignment horizontal="left"/>
    </xf>
    <xf numFmtId="0" fontId="21" fillId="0" borderId="0" xfId="257" applyFont="1" applyFill="1" applyAlignment="1" applyProtection="1">
      <alignment horizontal="center" wrapText="1"/>
    </xf>
    <xf numFmtId="0" fontId="16" fillId="0" borderId="0" xfId="257" applyFill="1" applyProtection="1"/>
    <xf numFmtId="164" fontId="12" fillId="31" borderId="0" xfId="274" applyNumberFormat="1" applyFont="1" applyFill="1" applyAlignment="1" applyProtection="1">
      <alignment horizontal="right" wrapText="1"/>
      <protection locked="0"/>
    </xf>
    <xf numFmtId="44" fontId="12" fillId="31" borderId="0" xfId="120" applyFont="1" applyFill="1" applyAlignment="1" applyProtection="1">
      <alignment horizontal="right" wrapText="1"/>
      <protection locked="0"/>
    </xf>
    <xf numFmtId="41" fontId="12" fillId="0" borderId="0" xfId="257"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7" applyNumberFormat="1" applyFill="1" applyBorder="1" applyProtection="1"/>
    <xf numFmtId="41" fontId="96" fillId="0" borderId="0" xfId="257" applyNumberFormat="1" applyFont="1" applyFill="1" applyProtection="1"/>
    <xf numFmtId="41" fontId="16" fillId="0" borderId="12" xfId="257" applyNumberFormat="1" applyFont="1" applyFill="1" applyBorder="1" applyProtection="1"/>
    <xf numFmtId="41" fontId="13" fillId="0" borderId="41" xfId="257" applyNumberFormat="1" applyFont="1" applyFill="1" applyBorder="1" applyProtection="1"/>
    <xf numFmtId="0" fontId="13" fillId="0" borderId="0" xfId="257"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2"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8" fontId="16" fillId="0" borderId="0" xfId="254"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4" fillId="0" borderId="0" xfId="264" applyNumberFormat="1" applyFont="1" applyFill="1" applyAlignment="1" applyProtection="1">
      <alignment horizontal="center"/>
    </xf>
    <xf numFmtId="172" fontId="165" fillId="0" borderId="0" xfId="264" applyFont="1" applyFill="1" applyAlignment="1" applyProtection="1"/>
    <xf numFmtId="200" fontId="12" fillId="31" borderId="0" xfId="254" applyNumberFormat="1" applyFont="1" applyFill="1" applyProtection="1">
      <protection locked="0"/>
    </xf>
    <xf numFmtId="0" fontId="166" fillId="0" borderId="0" xfId="0" applyFont="1" applyFill="1" applyAlignment="1">
      <alignment horizontal="left"/>
    </xf>
    <xf numFmtId="10" fontId="75" fillId="31" borderId="0" xfId="273" applyNumberFormat="1" applyFont="1" applyFill="1" applyAlignment="1" applyProtection="1">
      <alignment horizontal="center"/>
      <protection locked="0"/>
    </xf>
    <xf numFmtId="10" fontId="75" fillId="31" borderId="0" xfId="265" applyNumberFormat="1" applyFont="1" applyFill="1" applyAlignment="1" applyProtection="1">
      <alignment horizontal="center"/>
      <protection locked="0"/>
    </xf>
    <xf numFmtId="173" fontId="22" fillId="0" borderId="0" xfId="265" applyNumberFormat="1" applyFont="1"/>
    <xf numFmtId="0" fontId="22" fillId="0" borderId="0" xfId="265" applyNumberFormat="1" applyFont="1" applyAlignment="1">
      <alignment horizontal="center" vertical="center"/>
    </xf>
    <xf numFmtId="0" fontId="22" fillId="0" borderId="0" xfId="265" applyNumberFormat="1" applyFont="1" applyAlignment="1">
      <alignment vertical="center"/>
    </xf>
    <xf numFmtId="0" fontId="75" fillId="0" borderId="0" xfId="265" applyFont="1" applyFill="1" applyAlignment="1">
      <alignment horizontal="center"/>
    </xf>
    <xf numFmtId="0" fontId="167" fillId="0" borderId="0" xfId="265" applyFont="1" applyFill="1" applyAlignment="1">
      <alignment horizontal="right"/>
    </xf>
    <xf numFmtId="173" fontId="167" fillId="0" borderId="0" xfId="265" applyNumberFormat="1" applyFont="1" applyFill="1"/>
    <xf numFmtId="0" fontId="22" fillId="0" borderId="0" xfId="265" applyFont="1" applyAlignment="1">
      <alignment horizontal="left" indent="2"/>
    </xf>
    <xf numFmtId="0" fontId="137" fillId="0" borderId="0" xfId="265" applyNumberFormat="1" applyFont="1" applyAlignment="1">
      <alignment horizontal="center"/>
    </xf>
    <xf numFmtId="0" fontId="137" fillId="0" borderId="0" xfId="265" applyNumberFormat="1" applyFont="1"/>
    <xf numFmtId="0" fontId="9" fillId="0" borderId="0" xfId="264" applyNumberFormat="1" applyFont="1" applyFill="1" applyAlignment="1" applyProtection="1">
      <alignment horizontal="left" wrapText="1"/>
    </xf>
    <xf numFmtId="0" fontId="168" fillId="0" borderId="11" xfId="265" applyNumberFormat="1" applyFont="1" applyFill="1" applyBorder="1" applyAlignment="1">
      <alignment horizontal="center"/>
    </xf>
    <xf numFmtId="0" fontId="168" fillId="0" borderId="2" xfId="265" applyNumberFormat="1" applyFont="1" applyFill="1" applyBorder="1" applyAlignment="1">
      <alignment horizontal="center"/>
    </xf>
    <xf numFmtId="0" fontId="78" fillId="0" borderId="0" xfId="265" applyFont="1" applyFill="1" applyAlignment="1">
      <alignment horizontal="center" vertical="center"/>
    </xf>
    <xf numFmtId="0" fontId="22" fillId="0" borderId="11" xfId="265" applyNumberFormat="1" applyFont="1" applyBorder="1" applyAlignment="1">
      <alignment horizontal="center"/>
    </xf>
    <xf numFmtId="0" fontId="22" fillId="0" borderId="11" xfId="265" applyNumberFormat="1" applyFont="1" applyBorder="1"/>
    <xf numFmtId="0" fontId="22" fillId="0" borderId="11" xfId="265" applyFont="1" applyBorder="1"/>
    <xf numFmtId="173" fontId="81" fillId="0" borderId="11" xfId="265" applyNumberFormat="1" applyFont="1" applyFill="1" applyBorder="1" applyProtection="1">
      <protection locked="0"/>
    </xf>
    <xf numFmtId="173" fontId="75" fillId="0" borderId="11" xfId="265" applyNumberFormat="1" applyFont="1" applyFill="1" applyBorder="1"/>
    <xf numFmtId="0" fontId="75" fillId="0" borderId="11" xfId="265"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38" fillId="0" borderId="0" xfId="264" applyNumberFormat="1" applyFont="1" applyFill="1" applyAlignment="1" applyProtection="1">
      <alignment horizontal="center"/>
    </xf>
    <xf numFmtId="172" fontId="164" fillId="0" borderId="0" xfId="264" applyFont="1" applyFill="1" applyAlignment="1" applyProtection="1"/>
    <xf numFmtId="0" fontId="12" fillId="31" borderId="0" xfId="89" applyNumberFormat="1" applyFont="1" applyFill="1" applyBorder="1" applyAlignment="1" applyProtection="1">
      <alignment horizontal="center"/>
      <protection locked="0"/>
    </xf>
    <xf numFmtId="41" fontId="12" fillId="31" borderId="0" xfId="256" applyNumberFormat="1" applyFont="1" applyFill="1"/>
    <xf numFmtId="172" fontId="10" fillId="0" borderId="0" xfId="264" applyFont="1" applyFill="1" applyAlignment="1" applyProtection="1">
      <alignment horizontal="center"/>
    </xf>
    <xf numFmtId="3" fontId="10" fillId="0" borderId="0" xfId="264" applyNumberFormat="1" applyFont="1" applyFill="1" applyAlignment="1" applyProtection="1">
      <alignment horizontal="center" vertical="center"/>
    </xf>
    <xf numFmtId="0" fontId="7" fillId="0" borderId="0" xfId="264" applyNumberFormat="1" applyFont="1" applyFill="1" applyBorder="1" applyAlignment="1" applyProtection="1">
      <alignment horizontal="center"/>
    </xf>
    <xf numFmtId="3" fontId="18" fillId="0" borderId="0" xfId="264" applyNumberFormat="1" applyFont="1" applyFill="1" applyAlignment="1" applyProtection="1">
      <alignment horizontal="center"/>
    </xf>
    <xf numFmtId="0" fontId="7" fillId="0" borderId="6" xfId="264" applyNumberFormat="1" applyFont="1" applyFill="1" applyBorder="1" applyAlignment="1" applyProtection="1">
      <alignment horizontal="center"/>
    </xf>
    <xf numFmtId="0" fontId="9" fillId="0" borderId="0" xfId="264" applyNumberFormat="1" applyFont="1" applyFill="1" applyBorder="1" applyAlignment="1" applyProtection="1">
      <alignment vertical="center"/>
    </xf>
    <xf numFmtId="41" fontId="9" fillId="0" borderId="40" xfId="264"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07" fillId="0" borderId="0" xfId="0" applyFont="1" applyFill="1" applyAlignment="1" applyProtection="1">
      <alignment horizontal="center"/>
    </xf>
    <xf numFmtId="0" fontId="16" fillId="0" borderId="0" xfId="268" applyFont="1" applyFill="1" applyAlignment="1" applyProtection="1">
      <alignment horizontal="center"/>
    </xf>
    <xf numFmtId="38" fontId="12" fillId="0" borderId="0" xfId="0" applyNumberFormat="1" applyFont="1" applyFill="1" applyBorder="1" applyProtection="1">
      <protection locked="0"/>
    </xf>
    <xf numFmtId="0" fontId="10" fillId="0" borderId="0" xfId="255" applyFont="1" applyFill="1" applyBorder="1"/>
    <xf numFmtId="0" fontId="77" fillId="0" borderId="0" xfId="265" applyFont="1" applyFill="1" applyAlignment="1">
      <alignment vertical="center" wrapText="1"/>
    </xf>
    <xf numFmtId="0" fontId="10" fillId="0" borderId="0" xfId="254" quotePrefix="1" applyFont="1" applyFill="1" applyBorder="1" applyAlignment="1">
      <alignment horizontal="center"/>
    </xf>
    <xf numFmtId="0" fontId="8" fillId="0" borderId="11" xfId="265" applyNumberFormat="1" applyFont="1" applyFill="1" applyBorder="1" applyAlignment="1">
      <alignment horizontal="center" wrapText="1"/>
    </xf>
    <xf numFmtId="0" fontId="8" fillId="0" borderId="11" xfId="265" applyNumberFormat="1" applyFont="1" applyFill="1" applyBorder="1" applyAlignment="1">
      <alignment horizontal="center" vertical="center"/>
    </xf>
    <xf numFmtId="185" fontId="8" fillId="0" borderId="11" xfId="265" applyNumberFormat="1" applyFont="1" applyFill="1" applyBorder="1" applyAlignment="1">
      <alignment horizontal="center" vertical="center" wrapText="1"/>
    </xf>
    <xf numFmtId="0" fontId="8" fillId="0" borderId="11" xfId="265" applyNumberFormat="1" applyFont="1" applyFill="1" applyBorder="1" applyAlignment="1">
      <alignment horizontal="center" vertical="center" wrapText="1"/>
    </xf>
    <xf numFmtId="185" fontId="8" fillId="0" borderId="11" xfId="265" applyNumberFormat="1" applyFont="1" applyFill="1" applyBorder="1" applyAlignment="1">
      <alignment horizontal="center" vertical="center"/>
    </xf>
    <xf numFmtId="0" fontId="16" fillId="0" borderId="0" xfId="0" applyFont="1" applyFill="1" applyAlignment="1">
      <alignment vertical="center"/>
    </xf>
    <xf numFmtId="173" fontId="8" fillId="0" borderId="11" xfId="265" applyNumberFormat="1" applyFont="1" applyFill="1" applyBorder="1" applyAlignment="1">
      <alignment vertical="center"/>
    </xf>
    <xf numFmtId="173" fontId="78" fillId="0" borderId="0" xfId="265" applyNumberFormat="1" applyFont="1" applyFill="1" applyBorder="1" applyAlignment="1">
      <alignment vertical="center"/>
    </xf>
    <xf numFmtId="0" fontId="8" fillId="0" borderId="0" xfId="265" applyFont="1" applyFill="1" applyAlignment="1">
      <alignment horizontal="right" vertical="center"/>
    </xf>
    <xf numFmtId="0" fontId="75" fillId="0" borderId="0" xfId="265" applyFont="1" applyFill="1" applyAlignment="1">
      <alignment wrapText="1"/>
    </xf>
    <xf numFmtId="0" fontId="16" fillId="0" borderId="0" xfId="258" applyFont="1" applyFill="1" applyAlignment="1" applyProtection="1">
      <alignment horizontal="left"/>
    </xf>
    <xf numFmtId="0" fontId="16" fillId="0" borderId="0" xfId="187" applyFont="1" applyFill="1" applyAlignment="1" applyProtection="1">
      <alignment wrapText="1"/>
    </xf>
    <xf numFmtId="0" fontId="16" fillId="0" borderId="0" xfId="187" applyFont="1" applyFill="1" applyProtection="1"/>
    <xf numFmtId="173" fontId="75" fillId="0" borderId="0" xfId="86" applyNumberFormat="1" applyFont="1" applyFill="1" applyAlignment="1" applyProtection="1">
      <alignment horizontal="center"/>
      <protection locked="0"/>
    </xf>
    <xf numFmtId="173" fontId="16" fillId="0" borderId="0" xfId="265" applyNumberFormat="1" applyFont="1" applyFill="1"/>
    <xf numFmtId="0" fontId="16" fillId="0" borderId="0" xfId="169"/>
    <xf numFmtId="0" fontId="110" fillId="0" borderId="0" xfId="266" applyFont="1" applyProtection="1">
      <protection locked="0"/>
    </xf>
    <xf numFmtId="0" fontId="80" fillId="0" borderId="0" xfId="266" applyFont="1"/>
    <xf numFmtId="0" fontId="111" fillId="0" borderId="0" xfId="266" applyFont="1" applyAlignment="1">
      <alignment horizontal="center"/>
    </xf>
    <xf numFmtId="0" fontId="7" fillId="0" borderId="0" xfId="266"/>
    <xf numFmtId="176" fontId="7" fillId="0" borderId="0" xfId="266" applyNumberFormat="1"/>
    <xf numFmtId="0" fontId="113" fillId="0" borderId="0" xfId="266" applyFont="1" applyProtection="1">
      <protection locked="0"/>
    </xf>
    <xf numFmtId="0" fontId="114" fillId="0" borderId="16" xfId="266" applyFont="1" applyBorder="1"/>
    <xf numFmtId="0" fontId="110" fillId="0" borderId="16" xfId="266" applyFont="1" applyBorder="1" applyProtection="1">
      <protection locked="0"/>
    </xf>
    <xf numFmtId="0" fontId="110" fillId="0" borderId="0" xfId="266" applyFont="1" applyBorder="1" applyProtection="1">
      <protection locked="0"/>
    </xf>
    <xf numFmtId="0" fontId="7" fillId="0" borderId="0" xfId="266" applyFont="1" applyBorder="1"/>
    <xf numFmtId="0" fontId="115" fillId="0" borderId="0" xfId="266" applyFont="1" applyProtection="1">
      <protection locked="0"/>
    </xf>
    <xf numFmtId="0" fontId="117" fillId="0" borderId="0" xfId="266" applyFont="1"/>
    <xf numFmtId="0" fontId="140" fillId="0" borderId="0" xfId="266" applyFont="1" applyAlignment="1">
      <alignment horizontal="center"/>
    </xf>
    <xf numFmtId="0" fontId="16" fillId="0" borderId="0" xfId="169" applyAlignment="1">
      <alignment wrapText="1"/>
    </xf>
    <xf numFmtId="10" fontId="7" fillId="0" borderId="0" xfId="266" applyNumberFormat="1" applyAlignment="1" applyProtection="1">
      <alignment horizontal="center"/>
    </xf>
    <xf numFmtId="0" fontId="114" fillId="0" borderId="0" xfId="266" applyFont="1" applyBorder="1"/>
    <xf numFmtId="0" fontId="7" fillId="0" borderId="0" xfId="266" applyAlignment="1">
      <alignment horizontal="center"/>
    </xf>
    <xf numFmtId="10" fontId="7" fillId="0" borderId="0" xfId="266" applyNumberFormat="1" applyAlignment="1" applyProtection="1">
      <alignment horizontal="right"/>
    </xf>
    <xf numFmtId="196" fontId="80" fillId="0" borderId="0" xfId="266" applyNumberFormat="1" applyFont="1" applyProtection="1"/>
    <xf numFmtId="10" fontId="80" fillId="0" borderId="0" xfId="266" applyNumberFormat="1" applyFont="1" applyProtection="1"/>
    <xf numFmtId="0" fontId="7" fillId="0" borderId="0" xfId="266" applyAlignment="1"/>
    <xf numFmtId="0" fontId="7" fillId="0" borderId="0" xfId="266" applyFont="1" applyFill="1" applyBorder="1"/>
    <xf numFmtId="196" fontId="7" fillId="0" borderId="0" xfId="266" applyNumberFormat="1" applyBorder="1" applyProtection="1"/>
    <xf numFmtId="0" fontId="114" fillId="0" borderId="30" xfId="266" applyFont="1" applyBorder="1"/>
    <xf numFmtId="0" fontId="110" fillId="0" borderId="30" xfId="266" applyFont="1" applyBorder="1" applyProtection="1">
      <protection locked="0"/>
    </xf>
    <xf numFmtId="10" fontId="7" fillId="0" borderId="30" xfId="266" applyNumberFormat="1" applyBorder="1" applyProtection="1"/>
    <xf numFmtId="0" fontId="10" fillId="0" borderId="0" xfId="0" applyFont="1" applyAlignment="1"/>
    <xf numFmtId="0" fontId="9" fillId="0" borderId="0" xfId="0" applyFont="1" applyAlignment="1">
      <alignment horizontal="left" indent="1"/>
    </xf>
    <xf numFmtId="10" fontId="9" fillId="0" borderId="0" xfId="218" applyNumberFormat="1" applyFont="1" applyFill="1" applyAlignment="1">
      <alignment horizontal="center"/>
    </xf>
    <xf numFmtId="0" fontId="10" fillId="0" borderId="0" xfId="187" applyFont="1" applyAlignment="1">
      <alignment horizontal="right"/>
    </xf>
    <xf numFmtId="10" fontId="9" fillId="0" borderId="0" xfId="218"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67" applyFont="1" applyBorder="1" applyAlignment="1">
      <alignment horizontal="right"/>
    </xf>
    <xf numFmtId="0" fontId="142" fillId="0" borderId="0" xfId="0" applyFont="1" applyAlignment="1">
      <alignment vertical="center"/>
    </xf>
    <xf numFmtId="0" fontId="143" fillId="0" borderId="0" xfId="0" applyFont="1"/>
    <xf numFmtId="0" fontId="138" fillId="0" borderId="0" xfId="0" applyFont="1" applyAlignment="1"/>
    <xf numFmtId="0" fontId="138" fillId="0" borderId="0" xfId="0" applyFont="1" applyAlignment="1">
      <alignment horizontal="left"/>
    </xf>
    <xf numFmtId="0" fontId="138" fillId="0" borderId="0" xfId="215" applyFont="1" applyBorder="1" applyAlignment="1">
      <alignment horizontal="center"/>
    </xf>
    <xf numFmtId="0" fontId="143" fillId="0" borderId="0" xfId="0" applyFont="1" applyAlignment="1">
      <alignment horizontal="center"/>
    </xf>
    <xf numFmtId="0" fontId="144" fillId="0" borderId="0" xfId="215" applyFont="1" applyBorder="1" applyAlignment="1"/>
    <xf numFmtId="0" fontId="138" fillId="0" borderId="0" xfId="215" applyFont="1" applyBorder="1" applyAlignment="1">
      <alignment horizontal="left"/>
    </xf>
    <xf numFmtId="0" fontId="138" fillId="0" borderId="0" xfId="215" applyFont="1" applyBorder="1" applyAlignment="1"/>
    <xf numFmtId="3" fontId="138" fillId="0" borderId="0" xfId="0" applyNumberFormat="1" applyFont="1" applyAlignment="1"/>
    <xf numFmtId="3" fontId="138" fillId="0" borderId="0" xfId="0" applyNumberFormat="1" applyFont="1" applyAlignment="1">
      <alignment horizontal="left"/>
    </xf>
    <xf numFmtId="0" fontId="145" fillId="0" borderId="0" xfId="0" applyFont="1" applyAlignment="1">
      <alignment horizontal="center"/>
    </xf>
    <xf numFmtId="0" fontId="146" fillId="0" borderId="0" xfId="0" applyFont="1" applyAlignment="1"/>
    <xf numFmtId="0" fontId="145" fillId="0" borderId="0" xfId="0" applyFont="1" applyAlignment="1">
      <alignment wrapText="1"/>
    </xf>
    <xf numFmtId="0" fontId="145" fillId="0" borderId="0" xfId="0" applyFont="1"/>
    <xf numFmtId="41" fontId="143" fillId="0" borderId="0" xfId="0" applyNumberFormat="1" applyFont="1"/>
    <xf numFmtId="41" fontId="146" fillId="0" borderId="0" xfId="0" applyNumberFormat="1" applyFont="1" applyAlignment="1"/>
    <xf numFmtId="0" fontId="147" fillId="0" borderId="0" xfId="0" applyFont="1" applyAlignment="1">
      <alignment horizontal="center"/>
    </xf>
    <xf numFmtId="0" fontId="148" fillId="0" borderId="0" xfId="0" applyFont="1" applyFill="1" applyAlignment="1">
      <alignment horizontal="center"/>
    </xf>
    <xf numFmtId="0" fontId="149" fillId="0" borderId="0" xfId="0" applyFont="1" applyAlignment="1">
      <alignment horizontal="center"/>
    </xf>
    <xf numFmtId="0" fontId="146" fillId="0" borderId="0" xfId="0" applyFont="1" applyFill="1"/>
    <xf numFmtId="41" fontId="143" fillId="0" borderId="0" xfId="0" applyNumberFormat="1" applyFont="1" applyAlignment="1"/>
    <xf numFmtId="173" fontId="143" fillId="0" borderId="0" xfId="0" applyNumberFormat="1" applyFont="1"/>
    <xf numFmtId="0" fontId="143" fillId="0" borderId="0" xfId="0" applyFont="1" applyAlignment="1">
      <alignment wrapText="1"/>
    </xf>
    <xf numFmtId="0" fontId="143" fillId="0" borderId="0" xfId="0" applyFont="1" applyAlignment="1"/>
    <xf numFmtId="0" fontId="143" fillId="0" borderId="11" xfId="0" applyFont="1" applyBorder="1"/>
    <xf numFmtId="0" fontId="146" fillId="0" borderId="11" xfId="0" applyFont="1" applyFill="1" applyBorder="1"/>
    <xf numFmtId="0" fontId="146" fillId="0" borderId="11" xfId="0" applyFont="1" applyBorder="1" applyAlignment="1"/>
    <xf numFmtId="0" fontId="143" fillId="0" borderId="11" xfId="0" applyFont="1" applyBorder="1" applyAlignment="1"/>
    <xf numFmtId="41" fontId="146" fillId="0" borderId="0" xfId="0" applyNumberFormat="1" applyFont="1" applyFill="1"/>
    <xf numFmtId="0" fontId="146" fillId="0" borderId="0" xfId="0" applyFont="1" applyAlignment="1">
      <alignment horizontal="center"/>
    </xf>
    <xf numFmtId="192" fontId="146" fillId="0" borderId="0" xfId="112" applyNumberFormat="1" applyFont="1" applyAlignment="1">
      <alignment horizontal="center"/>
    </xf>
    <xf numFmtId="0" fontId="143" fillId="0" borderId="0" xfId="0" applyFont="1" applyBorder="1"/>
    <xf numFmtId="173" fontId="143" fillId="0" borderId="14" xfId="0" applyNumberFormat="1" applyFont="1" applyBorder="1"/>
    <xf numFmtId="173" fontId="146" fillId="0" borderId="14" xfId="0" applyNumberFormat="1" applyFont="1" applyFill="1" applyBorder="1"/>
    <xf numFmtId="41" fontId="143" fillId="0" borderId="14" xfId="0" applyNumberFormat="1" applyFont="1" applyBorder="1" applyAlignment="1"/>
    <xf numFmtId="43" fontId="146" fillId="0" borderId="0" xfId="0" applyNumberFormat="1" applyFont="1" applyAlignment="1"/>
    <xf numFmtId="0" fontId="145" fillId="0" borderId="0" xfId="0" applyFont="1" applyAlignment="1">
      <alignment horizontal="center" wrapText="1"/>
    </xf>
    <xf numFmtId="43" fontId="145" fillId="0" borderId="0" xfId="112" applyFont="1" applyAlignment="1">
      <alignment horizontal="center" wrapText="1"/>
    </xf>
    <xf numFmtId="173" fontId="143" fillId="0" borderId="0" xfId="0" applyNumberFormat="1" applyFont="1" applyBorder="1"/>
    <xf numFmtId="173" fontId="143" fillId="0" borderId="0" xfId="112" applyNumberFormat="1" applyFont="1"/>
    <xf numFmtId="173" fontId="145" fillId="0" borderId="0" xfId="112" applyNumberFormat="1" applyFont="1" applyAlignment="1">
      <alignment horizontal="center" wrapText="1"/>
    </xf>
    <xf numFmtId="173" fontId="145" fillId="0" borderId="0" xfId="112" applyNumberFormat="1" applyFont="1"/>
    <xf numFmtId="173" fontId="145" fillId="0" borderId="0" xfId="112" applyNumberFormat="1" applyFont="1" applyAlignment="1">
      <alignment horizontal="center"/>
    </xf>
    <xf numFmtId="10" fontId="143" fillId="0" borderId="0" xfId="295" applyNumberFormat="1" applyFont="1"/>
    <xf numFmtId="173" fontId="143" fillId="0" borderId="11" xfId="0" applyNumberFormat="1" applyFont="1" applyBorder="1"/>
    <xf numFmtId="173" fontId="143" fillId="0" borderId="11" xfId="112" applyNumberFormat="1" applyFont="1" applyBorder="1"/>
    <xf numFmtId="0" fontId="9" fillId="0" borderId="0" xfId="264" applyNumberFormat="1" applyFont="1" applyFill="1" applyAlignment="1" applyProtection="1">
      <alignment horizontal="left" indent="4"/>
    </xf>
    <xf numFmtId="41" fontId="23" fillId="0" borderId="0" xfId="264" applyNumberFormat="1" applyFont="1" applyFill="1" applyAlignment="1" applyProtection="1">
      <protection locked="0"/>
    </xf>
    <xf numFmtId="0" fontId="16" fillId="31" borderId="0" xfId="215" applyFont="1" applyFill="1" applyBorder="1" applyProtection="1">
      <protection locked="0"/>
    </xf>
    <xf numFmtId="1" fontId="67" fillId="31" borderId="0" xfId="0" quotePrefix="1" applyNumberFormat="1" applyFont="1" applyFill="1" applyAlignment="1" applyProtection="1">
      <alignment horizontal="left"/>
      <protection locked="0"/>
    </xf>
    <xf numFmtId="0" fontId="23" fillId="31" borderId="0" xfId="256" applyFont="1" applyFill="1" applyAlignment="1" applyProtection="1">
      <alignment horizontal="center"/>
      <protection locked="0"/>
    </xf>
    <xf numFmtId="41" fontId="23" fillId="31" borderId="0" xfId="256" applyNumberFormat="1" applyFont="1" applyFill="1" applyBorder="1" applyProtection="1">
      <protection locked="0"/>
    </xf>
    <xf numFmtId="41" fontId="23" fillId="31" borderId="11" xfId="256" applyNumberFormat="1" applyFont="1" applyFill="1" applyBorder="1" applyProtection="1">
      <protection locked="0"/>
    </xf>
    <xf numFmtId="10" fontId="9" fillId="0" borderId="0" xfId="0" applyNumberFormat="1" applyFont="1"/>
    <xf numFmtId="10" fontId="9" fillId="0" borderId="0" xfId="0" applyNumberFormat="1" applyFont="1" applyFill="1"/>
    <xf numFmtId="10" fontId="9" fillId="30" borderId="0" xfId="0" applyNumberFormat="1" applyFont="1" applyFill="1" applyBorder="1" applyAlignment="1"/>
    <xf numFmtId="0" fontId="12" fillId="31" borderId="0" xfId="256" applyFont="1" applyFill="1" applyProtection="1">
      <protection locked="0"/>
    </xf>
    <xf numFmtId="173" fontId="16" fillId="0" borderId="0" xfId="88" applyNumberFormat="1" applyFont="1" applyProtection="1"/>
    <xf numFmtId="173" fontId="16" fillId="0" borderId="0" xfId="88" applyNumberFormat="1" applyFont="1" applyBorder="1" applyProtection="1"/>
    <xf numFmtId="0" fontId="23" fillId="31" borderId="0" xfId="88" applyNumberFormat="1" applyFont="1" applyFill="1" applyAlignment="1" applyProtection="1">
      <alignment horizontal="left"/>
    </xf>
    <xf numFmtId="173" fontId="13" fillId="0" borderId="25" xfId="88" applyNumberFormat="1" applyFont="1" applyBorder="1" applyProtection="1"/>
    <xf numFmtId="0" fontId="9" fillId="0" borderId="0" xfId="88" applyNumberFormat="1" applyFont="1" applyFill="1" applyAlignment="1" applyProtection="1">
      <alignment horizontal="left"/>
    </xf>
    <xf numFmtId="0" fontId="9" fillId="0" borderId="0" xfId="88" applyNumberFormat="1" applyFont="1" applyFill="1" applyBorder="1" applyAlignment="1" applyProtection="1">
      <alignment horizontal="left"/>
    </xf>
    <xf numFmtId="0" fontId="10" fillId="0" borderId="0" xfId="88" applyNumberFormat="1" applyFont="1" applyFill="1" applyBorder="1" applyAlignment="1" applyProtection="1">
      <alignment horizontal="left"/>
    </xf>
    <xf numFmtId="173" fontId="13" fillId="0" borderId="29" xfId="88" applyNumberFormat="1" applyFont="1" applyBorder="1" applyProtection="1"/>
    <xf numFmtId="173" fontId="13" fillId="0" borderId="19" xfId="88" applyNumberFormat="1" applyFont="1" applyBorder="1" applyProtection="1"/>
    <xf numFmtId="173" fontId="16" fillId="0" borderId="6" xfId="88" applyNumberFormat="1" applyFont="1" applyBorder="1" applyProtection="1"/>
    <xf numFmtId="173" fontId="16" fillId="0" borderId="20" xfId="88" applyNumberFormat="1" applyFont="1" applyBorder="1" applyProtection="1"/>
    <xf numFmtId="173" fontId="16" fillId="0" borderId="0" xfId="88" applyNumberFormat="1" applyFont="1" applyFill="1" applyAlignment="1" applyProtection="1"/>
    <xf numFmtId="173" fontId="161" fillId="31" borderId="18" xfId="88" applyNumberFormat="1" applyFont="1" applyFill="1" applyBorder="1" applyAlignment="1" applyProtection="1">
      <alignment horizontal="right"/>
      <protection locked="0"/>
    </xf>
    <xf numFmtId="173" fontId="12" fillId="0" borderId="18" xfId="0" applyNumberFormat="1" applyFont="1" applyFill="1" applyBorder="1" applyAlignment="1" applyProtection="1">
      <alignment horizontal="right"/>
    </xf>
    <xf numFmtId="0" fontId="0" fillId="0" borderId="0" xfId="0" applyFill="1" applyAlignment="1" applyProtection="1">
      <alignment wrapText="1"/>
    </xf>
    <xf numFmtId="173" fontId="13" fillId="0" borderId="0" xfId="88" applyNumberFormat="1" applyFont="1" applyBorder="1" applyAlignment="1" applyProtection="1">
      <alignment horizontal="center" wrapText="1"/>
    </xf>
    <xf numFmtId="173" fontId="13" fillId="0" borderId="26" xfId="88" applyNumberFormat="1" applyFont="1" applyBorder="1" applyAlignment="1" applyProtection="1">
      <alignment horizontal="center" wrapText="1"/>
    </xf>
    <xf numFmtId="173" fontId="13" fillId="0" borderId="25" xfId="88" applyNumberFormat="1" applyFont="1" applyBorder="1" applyAlignment="1" applyProtection="1">
      <alignment horizontal="center" wrapText="1"/>
    </xf>
    <xf numFmtId="173" fontId="13" fillId="27" borderId="26" xfId="88" applyNumberFormat="1" applyFont="1" applyFill="1" applyBorder="1" applyAlignment="1" applyProtection="1">
      <alignment horizontal="center" wrapText="1"/>
    </xf>
    <xf numFmtId="173" fontId="13" fillId="0" borderId="28" xfId="88" applyNumberFormat="1" applyFont="1" applyBorder="1" applyAlignment="1" applyProtection="1">
      <alignment horizontal="center"/>
    </xf>
    <xf numFmtId="173" fontId="13" fillId="0" borderId="20" xfId="88" applyNumberFormat="1" applyFont="1" applyBorder="1" applyAlignment="1" applyProtection="1">
      <alignment horizontal="center"/>
    </xf>
    <xf numFmtId="173" fontId="13" fillId="27" borderId="28" xfId="88" applyNumberFormat="1" applyFont="1" applyFill="1" applyBorder="1" applyAlignment="1" applyProtection="1">
      <alignment horizontal="center"/>
    </xf>
    <xf numFmtId="173" fontId="16" fillId="0" borderId="27" xfId="88" applyNumberFormat="1" applyFont="1" applyBorder="1" applyProtection="1"/>
    <xf numFmtId="173" fontId="16" fillId="0" borderId="27" xfId="88" applyNumberFormat="1" applyFont="1" applyFill="1" applyBorder="1" applyProtection="1"/>
    <xf numFmtId="173" fontId="16" fillId="0" borderId="18" xfId="88" applyNumberFormat="1" applyFont="1" applyFill="1" applyBorder="1" applyAlignment="1" applyProtection="1">
      <alignment horizontal="left" indent="3"/>
    </xf>
    <xf numFmtId="173" fontId="16" fillId="0" borderId="18" xfId="88" applyNumberFormat="1" applyFont="1" applyBorder="1" applyProtection="1"/>
    <xf numFmtId="174" fontId="161" fillId="31" borderId="27" xfId="0" applyNumberFormat="1" applyFont="1" applyFill="1" applyBorder="1" applyProtection="1">
      <protection locked="0"/>
    </xf>
    <xf numFmtId="0" fontId="16" fillId="33" borderId="27" xfId="0" applyNumberFormat="1" applyFont="1" applyFill="1" applyBorder="1" applyAlignment="1" applyProtection="1">
      <alignment horizontal="center"/>
    </xf>
    <xf numFmtId="173" fontId="16" fillId="30" borderId="0" xfId="0" applyNumberFormat="1" applyFont="1" applyFill="1" applyBorder="1" applyProtection="1"/>
    <xf numFmtId="173" fontId="16" fillId="30" borderId="27" xfId="0" applyNumberFormat="1" applyFont="1" applyFill="1" applyBorder="1" applyProtection="1"/>
    <xf numFmtId="173" fontId="16" fillId="30" borderId="27" xfId="88" applyNumberFormat="1" applyFont="1" applyFill="1" applyBorder="1" applyProtection="1"/>
    <xf numFmtId="173" fontId="16" fillId="30" borderId="18" xfId="88" applyNumberFormat="1" applyFont="1" applyFill="1" applyBorder="1" applyProtection="1"/>
    <xf numFmtId="174" fontId="16" fillId="30" borderId="27" xfId="0" applyNumberFormat="1" applyFont="1" applyFill="1" applyBorder="1" applyProtection="1"/>
    <xf numFmtId="173" fontId="16" fillId="0" borderId="28" xfId="88" applyNumberFormat="1" applyFont="1" applyBorder="1" applyProtection="1"/>
    <xf numFmtId="173" fontId="16" fillId="0" borderId="0" xfId="88" applyNumberFormat="1" applyProtection="1"/>
    <xf numFmtId="0" fontId="23" fillId="31" borderId="0" xfId="88" applyNumberFormat="1" applyFont="1" applyFill="1" applyAlignment="1" applyProtection="1">
      <alignment horizontal="left"/>
      <protection locked="0"/>
    </xf>
    <xf numFmtId="174" fontId="161" fillId="31" borderId="26" xfId="0" applyNumberFormat="1" applyFont="1" applyFill="1" applyBorder="1" applyProtection="1">
      <protection locked="0"/>
    </xf>
    <xf numFmtId="0" fontId="152" fillId="0" borderId="0" xfId="0" applyFont="1" applyFill="1" applyAlignment="1" applyProtection="1">
      <alignment horizontal="right"/>
    </xf>
    <xf numFmtId="0" fontId="152" fillId="0" borderId="0" xfId="0" applyFont="1" applyFill="1" applyAlignment="1" applyProtection="1">
      <alignment horizontal="left"/>
    </xf>
    <xf numFmtId="173" fontId="12" fillId="31" borderId="18" xfId="88" applyNumberFormat="1" applyFont="1" applyFill="1" applyBorder="1" applyAlignment="1" applyProtection="1">
      <alignment horizontal="right"/>
      <protection locked="0"/>
    </xf>
    <xf numFmtId="0" fontId="12" fillId="31" borderId="0" xfId="0" applyFont="1" applyFill="1" applyProtection="1">
      <protection locked="0"/>
    </xf>
    <xf numFmtId="173" fontId="16" fillId="30" borderId="19" xfId="0" applyNumberFormat="1" applyFont="1" applyFill="1" applyBorder="1" applyProtection="1"/>
    <xf numFmtId="173" fontId="16" fillId="30" borderId="28" xfId="0" applyNumberFormat="1" applyFont="1" applyFill="1" applyBorder="1" applyProtection="1"/>
    <xf numFmtId="0" fontId="169" fillId="31" borderId="0" xfId="0" applyFont="1" applyFill="1" applyAlignment="1" applyProtection="1">
      <alignment horizontal="left"/>
      <protection locked="0"/>
    </xf>
    <xf numFmtId="173" fontId="16" fillId="0" borderId="27" xfId="88" applyNumberFormat="1" applyFont="1" applyBorder="1" applyAlignment="1" applyProtection="1">
      <alignment horizontal="left" indent="2"/>
    </xf>
    <xf numFmtId="43" fontId="16" fillId="0" borderId="27" xfId="88" applyNumberFormat="1" applyFont="1" applyBorder="1" applyProtection="1"/>
    <xf numFmtId="173" fontId="16" fillId="30" borderId="18" xfId="0" applyNumberFormat="1" applyFont="1" applyFill="1" applyBorder="1" applyAlignment="1" applyProtection="1">
      <alignment horizontal="right"/>
    </xf>
    <xf numFmtId="173" fontId="16" fillId="0" borderId="27" xfId="88" applyNumberFormat="1" applyFont="1" applyFill="1" applyBorder="1" applyAlignment="1" applyProtection="1">
      <alignment horizontal="left" indent="2"/>
    </xf>
    <xf numFmtId="173" fontId="16" fillId="0" borderId="18" xfId="88" applyNumberFormat="1" applyFont="1" applyFill="1" applyBorder="1" applyAlignment="1" applyProtection="1">
      <alignment horizontal="left" indent="5"/>
    </xf>
    <xf numFmtId="0" fontId="169" fillId="31" borderId="0" xfId="0" applyFont="1" applyFill="1" applyAlignment="1" applyProtection="1">
      <protection locked="0"/>
    </xf>
    <xf numFmtId="0" fontId="16" fillId="30" borderId="27" xfId="0" applyNumberFormat="1" applyFont="1" applyFill="1" applyBorder="1" applyAlignment="1" applyProtection="1">
      <alignment horizontal="center"/>
    </xf>
    <xf numFmtId="173" fontId="81" fillId="31" borderId="0" xfId="265" applyNumberFormat="1" applyFont="1" applyFill="1" applyBorder="1" applyProtection="1">
      <protection locked="0"/>
    </xf>
    <xf numFmtId="173" fontId="150" fillId="31" borderId="0" xfId="113" applyNumberFormat="1" applyFont="1" applyFill="1" applyProtection="1">
      <protection locked="0"/>
    </xf>
    <xf numFmtId="41" fontId="9" fillId="0" borderId="11" xfId="264" applyNumberFormat="1" applyFont="1" applyFill="1" applyBorder="1" applyAlignment="1" applyProtection="1"/>
    <xf numFmtId="0" fontId="0" fillId="0" borderId="11" xfId="0" applyBorder="1"/>
    <xf numFmtId="0" fontId="19" fillId="0" borderId="11" xfId="0" applyFont="1" applyBorder="1" applyAlignment="1"/>
    <xf numFmtId="173" fontId="16" fillId="0" borderId="11" xfId="88" applyNumberFormat="1" applyFont="1" applyBorder="1" applyProtection="1"/>
    <xf numFmtId="174" fontId="16" fillId="0" borderId="11" xfId="0" applyNumberFormat="1" applyFont="1" applyBorder="1" applyProtection="1"/>
    <xf numFmtId="173" fontId="150" fillId="31" borderId="11" xfId="113" applyNumberFormat="1" applyFont="1" applyFill="1" applyBorder="1" applyProtection="1">
      <protection locked="0"/>
    </xf>
    <xf numFmtId="187" fontId="23" fillId="30" borderId="0" xfId="273" applyNumberFormat="1" applyFont="1" applyFill="1"/>
    <xf numFmtId="10" fontId="9" fillId="0" borderId="44" xfId="264" applyNumberFormat="1" applyFont="1" applyFill="1" applyBorder="1" applyAlignment="1" applyProtection="1"/>
    <xf numFmtId="3" fontId="14" fillId="0" borderId="0" xfId="264" applyNumberFormat="1" applyFont="1" applyFill="1" applyAlignment="1" applyProtection="1">
      <alignment horizontal="center"/>
    </xf>
    <xf numFmtId="9" fontId="9" fillId="0" borderId="0" xfId="0" applyNumberFormat="1" applyFont="1" applyFill="1" applyProtection="1"/>
    <xf numFmtId="0" fontId="112" fillId="0" borderId="0" xfId="266" applyFont="1" applyProtection="1">
      <protection locked="0"/>
    </xf>
    <xf numFmtId="176" fontId="111" fillId="0" borderId="0" xfId="266" applyNumberFormat="1" applyFont="1" applyAlignment="1">
      <alignment horizontal="center"/>
    </xf>
    <xf numFmtId="0" fontId="111" fillId="0" borderId="0" xfId="266" applyFont="1"/>
    <xf numFmtId="176" fontId="110" fillId="0" borderId="0" xfId="266" applyNumberFormat="1" applyFont="1" applyProtection="1">
      <protection locked="0"/>
    </xf>
    <xf numFmtId="0" fontId="116" fillId="0" borderId="0" xfId="266" applyFont="1"/>
    <xf numFmtId="173" fontId="16" fillId="0" borderId="47" xfId="0" applyNumberFormat="1" applyFont="1" applyBorder="1" applyProtection="1"/>
    <xf numFmtId="0" fontId="0" fillId="30" borderId="0" xfId="0" applyFill="1" applyProtection="1"/>
    <xf numFmtId="0" fontId="169" fillId="30" borderId="0" xfId="0" applyFont="1" applyFill="1" applyAlignment="1" applyProtection="1">
      <protection locked="0"/>
    </xf>
    <xf numFmtId="0" fontId="12" fillId="31" borderId="0" xfId="259" applyFont="1" applyFill="1" applyAlignment="1" applyProtection="1">
      <alignment horizontal="center"/>
      <protection locked="0"/>
    </xf>
    <xf numFmtId="173" fontId="16" fillId="0" borderId="48" xfId="0" applyNumberFormat="1" applyFont="1" applyBorder="1" applyProtection="1"/>
    <xf numFmtId="0" fontId="81" fillId="31" borderId="0" xfId="265" applyNumberFormat="1" applyFont="1" applyFill="1" applyBorder="1" applyAlignment="1" applyProtection="1">
      <alignment horizontal="center"/>
      <protection locked="0"/>
    </xf>
    <xf numFmtId="41" fontId="12" fillId="0" borderId="0" xfId="254" applyNumberFormat="1" applyFont="1" applyFill="1" applyProtection="1">
      <protection locked="0"/>
    </xf>
    <xf numFmtId="173" fontId="161" fillId="31" borderId="20" xfId="88" applyNumberFormat="1" applyFont="1" applyFill="1" applyBorder="1" applyAlignment="1" applyProtection="1">
      <alignment horizontal="right"/>
      <protection locked="0"/>
    </xf>
    <xf numFmtId="0" fontId="9" fillId="0" borderId="0" xfId="265" applyNumberFormat="1" applyFont="1"/>
    <xf numFmtId="173" fontId="9" fillId="0" borderId="0" xfId="265" applyNumberFormat="1" applyFont="1" applyFill="1" applyBorder="1"/>
    <xf numFmtId="173" fontId="9" fillId="0" borderId="0" xfId="265" applyNumberFormat="1" applyFont="1" applyBorder="1"/>
    <xf numFmtId="0" fontId="10" fillId="0" borderId="0" xfId="265" applyFont="1"/>
    <xf numFmtId="0" fontId="9" fillId="0" borderId="0" xfId="265" applyFont="1" applyFill="1" applyBorder="1"/>
    <xf numFmtId="0" fontId="14" fillId="0" borderId="0" xfId="265" applyFont="1"/>
    <xf numFmtId="173" fontId="170" fillId="0" borderId="0" xfId="265" applyNumberFormat="1" applyFont="1" applyBorder="1"/>
    <xf numFmtId="173" fontId="170" fillId="0" borderId="0" xfId="265" applyNumberFormat="1" applyFont="1"/>
    <xf numFmtId="185" fontId="23" fillId="0" borderId="0" xfId="265" applyNumberFormat="1" applyFont="1"/>
    <xf numFmtId="0" fontId="9" fillId="0" borderId="0" xfId="265" applyFont="1" applyFill="1"/>
    <xf numFmtId="173" fontId="88" fillId="0" borderId="0" xfId="265" applyNumberFormat="1" applyFont="1" applyFill="1" applyBorder="1"/>
    <xf numFmtId="39" fontId="9" fillId="0" borderId="0" xfId="261" applyNumberFormat="1" applyFont="1" applyFill="1"/>
    <xf numFmtId="39" fontId="9" fillId="0" borderId="0" xfId="262" applyNumberFormat="1" applyFont="1" applyFill="1"/>
    <xf numFmtId="173" fontId="9" fillId="0" borderId="0" xfId="265" applyNumberFormat="1" applyFont="1" applyFill="1"/>
    <xf numFmtId="173" fontId="9" fillId="0" borderId="14" xfId="86" applyNumberFormat="1" applyFont="1" applyBorder="1"/>
    <xf numFmtId="0" fontId="9" fillId="30" borderId="0" xfId="265" applyFont="1" applyFill="1"/>
    <xf numFmtId="0" fontId="18" fillId="30" borderId="0" xfId="265" applyFont="1" applyFill="1" applyAlignment="1">
      <alignment horizontal="center"/>
    </xf>
    <xf numFmtId="0" fontId="18" fillId="0" borderId="0" xfId="265" applyFont="1" applyAlignment="1">
      <alignment horizontal="center"/>
    </xf>
    <xf numFmtId="0" fontId="156" fillId="30" borderId="0" xfId="265" applyFont="1" applyFill="1"/>
    <xf numFmtId="41" fontId="156" fillId="30" borderId="0" xfId="265" applyNumberFormat="1" applyFont="1" applyFill="1"/>
    <xf numFmtId="41" fontId="156" fillId="30" borderId="0" xfId="265" applyNumberFormat="1" applyFont="1" applyFill="1" applyBorder="1"/>
    <xf numFmtId="41" fontId="9" fillId="0" borderId="0" xfId="265" applyNumberFormat="1" applyFont="1" applyFill="1"/>
    <xf numFmtId="0" fontId="10" fillId="30" borderId="0" xfId="265" applyFont="1" applyFill="1"/>
    <xf numFmtId="41" fontId="9" fillId="30" borderId="0" xfId="265" applyNumberFormat="1" applyFont="1" applyFill="1"/>
    <xf numFmtId="10" fontId="9" fillId="30" borderId="0" xfId="274" applyNumberFormat="1" applyFont="1" applyFill="1"/>
    <xf numFmtId="41" fontId="9" fillId="30" borderId="0" xfId="265" applyNumberFormat="1" applyFont="1" applyFill="1" applyBorder="1"/>
    <xf numFmtId="164" fontId="9" fillId="0" borderId="0" xfId="274" applyNumberFormat="1" applyFont="1" applyFill="1"/>
    <xf numFmtId="10" fontId="23" fillId="30" borderId="11" xfId="274" applyNumberFormat="1" applyFont="1" applyFill="1" applyBorder="1" applyProtection="1">
      <protection locked="0"/>
    </xf>
    <xf numFmtId="41" fontId="23" fillId="30" borderId="11" xfId="265" applyNumberFormat="1" applyFont="1" applyFill="1" applyBorder="1" applyProtection="1">
      <protection locked="0"/>
    </xf>
    <xf numFmtId="173" fontId="9" fillId="30" borderId="0" xfId="265" applyNumberFormat="1" applyFont="1" applyFill="1"/>
    <xf numFmtId="9" fontId="23" fillId="30" borderId="11" xfId="274" applyFont="1" applyFill="1" applyBorder="1" applyProtection="1">
      <protection locked="0"/>
    </xf>
    <xf numFmtId="9" fontId="9" fillId="30" borderId="0" xfId="274" applyFont="1" applyFill="1"/>
    <xf numFmtId="0" fontId="158" fillId="0" borderId="0" xfId="265" applyFont="1" applyFill="1"/>
    <xf numFmtId="10" fontId="9" fillId="30" borderId="11" xfId="274" applyNumberFormat="1" applyFont="1" applyFill="1" applyBorder="1"/>
    <xf numFmtId="173" fontId="9" fillId="30" borderId="0" xfId="88" applyNumberFormat="1" applyFont="1" applyFill="1"/>
    <xf numFmtId="10" fontId="9" fillId="30" borderId="0" xfId="274" applyNumberFormat="1" applyFont="1" applyFill="1" applyBorder="1"/>
    <xf numFmtId="0" fontId="9" fillId="30" borderId="0" xfId="0" applyFont="1" applyFill="1"/>
    <xf numFmtId="0" fontId="9" fillId="30" borderId="11" xfId="265" applyFont="1" applyFill="1" applyBorder="1"/>
    <xf numFmtId="41" fontId="157" fillId="30" borderId="11" xfId="265" applyNumberFormat="1" applyFont="1" applyFill="1" applyBorder="1"/>
    <xf numFmtId="41" fontId="22" fillId="30" borderId="0" xfId="265" applyNumberFormat="1" applyFont="1" applyFill="1"/>
    <xf numFmtId="0" fontId="22" fillId="30" borderId="0" xfId="265" applyFont="1" applyFill="1"/>
    <xf numFmtId="173" fontId="22" fillId="0" borderId="0" xfId="88" applyNumberFormat="1" applyFont="1" applyFill="1" applyBorder="1"/>
    <xf numFmtId="41" fontId="22" fillId="0" borderId="0" xfId="265" applyNumberFormat="1" applyFont="1" applyFill="1"/>
    <xf numFmtId="0" fontId="12" fillId="31" borderId="0" xfId="89" quotePrefix="1" applyNumberFormat="1" applyFont="1" applyFill="1" applyBorder="1" applyAlignment="1" applyProtection="1">
      <alignment horizontal="center"/>
      <protection locked="0"/>
    </xf>
    <xf numFmtId="0" fontId="80" fillId="0" borderId="30" xfId="266" applyFont="1" applyBorder="1" applyAlignment="1" applyProtection="1">
      <alignment horizontal="center"/>
    </xf>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28" fillId="0" borderId="0" xfId="345" applyFont="1"/>
    <xf numFmtId="0" fontId="28" fillId="0" borderId="0" xfId="345" applyFont="1" applyAlignment="1">
      <alignment horizontal="center"/>
    </xf>
    <xf numFmtId="0" fontId="28" fillId="0" borderId="0" xfId="169" applyFont="1"/>
    <xf numFmtId="0" fontId="28" fillId="0" borderId="0" xfId="345" applyFont="1" applyBorder="1"/>
    <xf numFmtId="172" fontId="171" fillId="0" borderId="0" xfId="350"/>
    <xf numFmtId="0" fontId="28" fillId="0" borderId="0" xfId="354" applyFont="1"/>
    <xf numFmtId="0" fontId="28" fillId="0" borderId="0" xfId="354" applyFont="1" applyAlignment="1">
      <alignment horizontal="center"/>
    </xf>
    <xf numFmtId="14" fontId="28" fillId="0" borderId="0" xfId="354" applyNumberFormat="1" applyFont="1"/>
    <xf numFmtId="0" fontId="28" fillId="0" borderId="0" xfId="169" applyFont="1"/>
    <xf numFmtId="9" fontId="28" fillId="0" borderId="0" xfId="346" applyFont="1"/>
    <xf numFmtId="41" fontId="28" fillId="0" borderId="0" xfId="354" applyNumberFormat="1" applyFont="1"/>
    <xf numFmtId="10" fontId="28" fillId="0" borderId="0" xfId="275" applyNumberFormat="1" applyFont="1"/>
    <xf numFmtId="172" fontId="28" fillId="0" borderId="0" xfId="350" applyFont="1" applyAlignment="1"/>
    <xf numFmtId="0" fontId="29" fillId="0" borderId="0" xfId="354" applyFont="1"/>
    <xf numFmtId="172" fontId="171" fillId="0" borderId="0" xfId="350" applyAlignment="1"/>
    <xf numFmtId="0" fontId="28" fillId="0" borderId="11" xfId="354" applyFont="1" applyBorder="1"/>
    <xf numFmtId="0" fontId="29" fillId="0" borderId="11" xfId="354" applyFont="1" applyBorder="1" applyAlignment="1">
      <alignment horizontal="center"/>
    </xf>
    <xf numFmtId="0" fontId="29" fillId="0" borderId="11" xfId="354" applyFont="1" applyBorder="1" applyAlignment="1">
      <alignment horizontal="center" wrapText="1"/>
    </xf>
    <xf numFmtId="0" fontId="29" fillId="0" borderId="11" xfId="354" applyFont="1" applyFill="1" applyBorder="1" applyAlignment="1">
      <alignment horizontal="center" wrapText="1"/>
    </xf>
    <xf numFmtId="0" fontId="29" fillId="0" borderId="0" xfId="354" applyFont="1" applyAlignment="1">
      <alignment horizontal="center"/>
    </xf>
    <xf numFmtId="0" fontId="29" fillId="0" borderId="0" xfId="354" applyFont="1" applyFill="1" applyBorder="1" applyAlignment="1">
      <alignment horizontal="center" wrapText="1"/>
    </xf>
    <xf numFmtId="0" fontId="29" fillId="0" borderId="0" xfId="354" applyFont="1" applyBorder="1" applyAlignment="1">
      <alignment horizontal="center" wrapText="1"/>
    </xf>
    <xf numFmtId="0" fontId="29" fillId="0" borderId="0" xfId="354" applyFont="1" applyAlignment="1">
      <alignment horizontal="left"/>
    </xf>
    <xf numFmtId="0" fontId="28" fillId="34" borderId="0" xfId="354" applyFont="1" applyFill="1"/>
    <xf numFmtId="0" fontId="28" fillId="0" borderId="0" xfId="354" applyFont="1" applyFill="1" applyAlignment="1">
      <alignment horizontal="center"/>
    </xf>
    <xf numFmtId="0" fontId="28" fillId="0" borderId="0" xfId="354" applyFont="1" applyBorder="1"/>
    <xf numFmtId="0" fontId="28" fillId="0" borderId="0" xfId="354" applyFont="1" applyFill="1" applyBorder="1" applyAlignment="1">
      <alignment horizontal="center"/>
    </xf>
    <xf numFmtId="41" fontId="28" fillId="31" borderId="53" xfId="256" applyNumberFormat="1" applyFont="1" applyFill="1" applyBorder="1" applyProtection="1">
      <protection locked="0"/>
    </xf>
    <xf numFmtId="173" fontId="28" fillId="35" borderId="53" xfId="355" applyNumberFormat="1" applyFont="1" applyFill="1" applyBorder="1"/>
    <xf numFmtId="173" fontId="28" fillId="0" borderId="54" xfId="355" applyNumberFormat="1" applyFont="1" applyFill="1" applyBorder="1"/>
    <xf numFmtId="173" fontId="28" fillId="0" borderId="53" xfId="355" applyNumberFormat="1" applyFont="1" applyFill="1" applyBorder="1"/>
    <xf numFmtId="41" fontId="28" fillId="31" borderId="0" xfId="256" applyNumberFormat="1" applyFont="1" applyFill="1" applyBorder="1" applyProtection="1">
      <protection locked="0"/>
    </xf>
    <xf numFmtId="41" fontId="28" fillId="0" borderId="0" xfId="354" applyNumberFormat="1" applyFont="1" applyBorder="1" applyAlignment="1">
      <alignment horizontal="center"/>
    </xf>
    <xf numFmtId="0" fontId="29" fillId="0" borderId="0" xfId="354" applyFont="1" applyBorder="1"/>
    <xf numFmtId="173" fontId="28" fillId="35" borderId="54" xfId="355" applyNumberFormat="1" applyFont="1" applyFill="1" applyBorder="1"/>
    <xf numFmtId="173" fontId="28" fillId="0" borderId="0" xfId="349" applyNumberFormat="1" applyFont="1" applyBorder="1" applyAlignment="1">
      <alignment horizontal="center"/>
    </xf>
    <xf numFmtId="173" fontId="28" fillId="0" borderId="0" xfId="355" applyNumberFormat="1" applyFont="1" applyFill="1" applyBorder="1"/>
    <xf numFmtId="0" fontId="28" fillId="0" borderId="0" xfId="169" applyFont="1" applyFill="1"/>
    <xf numFmtId="0" fontId="28" fillId="0" borderId="0" xfId="169" applyFont="1" applyFill="1" applyBorder="1"/>
    <xf numFmtId="0" fontId="28" fillId="0" borderId="0" xfId="354" applyFont="1" applyAlignment="1">
      <alignment wrapText="1"/>
    </xf>
    <xf numFmtId="173" fontId="28" fillId="35" borderId="0" xfId="355" applyNumberFormat="1" applyFont="1" applyFill="1" applyBorder="1"/>
    <xf numFmtId="41" fontId="28" fillId="31" borderId="55" xfId="256" applyNumberFormat="1" applyFont="1" applyFill="1" applyBorder="1" applyProtection="1">
      <protection locked="0"/>
    </xf>
    <xf numFmtId="173" fontId="28" fillId="0" borderId="0" xfId="355" applyNumberFormat="1" applyFont="1" applyBorder="1" applyAlignment="1">
      <alignment wrapText="1"/>
    </xf>
    <xf numFmtId="1" fontId="28" fillId="0" borderId="56" xfId="349" applyNumberFormat="1" applyFont="1" applyBorder="1" applyAlignment="1"/>
    <xf numFmtId="173" fontId="28" fillId="0" borderId="56" xfId="349" applyNumberFormat="1" applyFont="1" applyBorder="1" applyAlignment="1"/>
    <xf numFmtId="177" fontId="28" fillId="0" borderId="56" xfId="349" applyNumberFormat="1" applyFont="1" applyBorder="1" applyAlignment="1"/>
    <xf numFmtId="173" fontId="28" fillId="0" borderId="0" xfId="355" applyNumberFormat="1" applyFont="1" applyAlignment="1">
      <alignment wrapText="1"/>
    </xf>
    <xf numFmtId="1" fontId="28" fillId="0" borderId="0" xfId="349" applyNumberFormat="1" applyFont="1" applyBorder="1" applyAlignment="1"/>
    <xf numFmtId="177" fontId="28" fillId="0" borderId="0" xfId="349" applyNumberFormat="1" applyFont="1" applyBorder="1" applyAlignment="1"/>
    <xf numFmtId="173" fontId="28" fillId="0" borderId="57" xfId="349" applyNumberFormat="1" applyFont="1" applyBorder="1" applyAlignment="1">
      <alignment horizontal="center"/>
    </xf>
    <xf numFmtId="173" fontId="28" fillId="0" borderId="0" xfId="349" applyNumberFormat="1" applyFont="1" applyBorder="1" applyAlignment="1"/>
    <xf numFmtId="0" fontId="28" fillId="0" borderId="0" xfId="354" applyFont="1" applyAlignment="1">
      <alignment horizontal="left" vertical="center"/>
    </xf>
    <xf numFmtId="0" fontId="28" fillId="0" borderId="0" xfId="354" applyFont="1" applyAlignment="1">
      <alignment vertical="top" wrapText="1"/>
    </xf>
    <xf numFmtId="0" fontId="28" fillId="0" borderId="0" xfId="354" applyFont="1" applyAlignment="1"/>
    <xf numFmtId="173" fontId="28" fillId="0" borderId="0" xfId="354" applyNumberFormat="1" applyFont="1"/>
    <xf numFmtId="0" fontId="28" fillId="0" borderId="0" xfId="354" applyFont="1" applyAlignment="1">
      <alignment vertical="top"/>
    </xf>
    <xf numFmtId="0" fontId="28" fillId="0" borderId="0" xfId="354" applyFont="1" applyFill="1" applyAlignment="1">
      <alignment horizontal="left"/>
    </xf>
    <xf numFmtId="0" fontId="28" fillId="0" borderId="0" xfId="354" applyFont="1" applyAlignment="1">
      <alignment horizontal="left"/>
    </xf>
    <xf numFmtId="0" fontId="28" fillId="0" borderId="0" xfId="354" applyFont="1" applyFill="1"/>
    <xf numFmtId="0" fontId="29" fillId="0" borderId="0" xfId="354" applyFont="1" applyAlignment="1">
      <alignment horizontal="left" vertical="center"/>
    </xf>
    <xf numFmtId="173" fontId="28" fillId="0" borderId="0" xfId="354" applyNumberFormat="1" applyFont="1" applyAlignment="1">
      <alignment horizontal="left" vertical="center"/>
    </xf>
    <xf numFmtId="49" fontId="28" fillId="0" borderId="0" xfId="354" applyNumberFormat="1" applyFont="1" applyFill="1" applyAlignment="1">
      <alignment horizontal="center"/>
    </xf>
    <xf numFmtId="49" fontId="28" fillId="0" borderId="0" xfId="354" applyNumberFormat="1" applyFont="1" applyAlignment="1">
      <alignment horizontal="center"/>
    </xf>
    <xf numFmtId="41" fontId="28" fillId="31" borderId="34" xfId="256" applyNumberFormat="1" applyFont="1" applyFill="1" applyBorder="1" applyAlignment="1" applyProtection="1">
      <alignment vertical="top"/>
      <protection locked="0"/>
    </xf>
    <xf numFmtId="172" fontId="171" fillId="0" borderId="0" xfId="350" applyFont="1"/>
    <xf numFmtId="0" fontId="16" fillId="0" borderId="0" xfId="354" applyFont="1" applyAlignment="1">
      <alignment horizontal="right"/>
    </xf>
    <xf numFmtId="172" fontId="28" fillId="0" borderId="0" xfId="350" applyFont="1" applyBorder="1"/>
    <xf numFmtId="41" fontId="28" fillId="31" borderId="51" xfId="256" applyNumberFormat="1" applyFont="1" applyFill="1" applyBorder="1" applyProtection="1">
      <protection locked="0"/>
    </xf>
    <xf numFmtId="173" fontId="28" fillId="35" borderId="51" xfId="355" applyNumberFormat="1" applyFont="1" applyFill="1" applyBorder="1"/>
    <xf numFmtId="173" fontId="28" fillId="0" borderId="52" xfId="355" applyNumberFormat="1" applyFont="1" applyFill="1" applyBorder="1"/>
    <xf numFmtId="41" fontId="28" fillId="31" borderId="42" xfId="256" applyNumberFormat="1" applyFont="1" applyFill="1" applyBorder="1" applyProtection="1">
      <protection locked="0"/>
    </xf>
    <xf numFmtId="0" fontId="28" fillId="0" borderId="0" xfId="169" applyFont="1" applyBorder="1"/>
    <xf numFmtId="172" fontId="28" fillId="0" borderId="0" xfId="169" applyNumberFormat="1" applyFont="1" applyFill="1" applyBorder="1"/>
    <xf numFmtId="172" fontId="173" fillId="0" borderId="0" xfId="350" applyFont="1"/>
    <xf numFmtId="172" fontId="28" fillId="0" borderId="0" xfId="350" applyFont="1" applyFill="1" applyAlignment="1"/>
    <xf numFmtId="173" fontId="28" fillId="0" borderId="56" xfId="349" applyNumberFormat="1" applyFont="1" applyFill="1" applyBorder="1" applyAlignment="1"/>
    <xf numFmtId="173" fontId="29" fillId="0" borderId="0" xfId="354" applyNumberFormat="1" applyFont="1" applyAlignment="1">
      <alignment horizontal="center"/>
    </xf>
    <xf numFmtId="0" fontId="16" fillId="0" borderId="27" xfId="0" applyNumberFormat="1" applyFont="1" applyFill="1" applyBorder="1" applyAlignment="1" applyProtection="1">
      <alignment horizontal="center"/>
    </xf>
    <xf numFmtId="0" fontId="13" fillId="0" borderId="25" xfId="0" applyFont="1" applyFill="1" applyBorder="1" applyAlignment="1" applyProtection="1">
      <alignment horizontal="center"/>
    </xf>
    <xf numFmtId="174" fontId="12" fillId="28" borderId="27" xfId="0" applyNumberFormat="1" applyFont="1" applyFill="1" applyBorder="1" applyProtection="1"/>
    <xf numFmtId="173" fontId="161" fillId="31" borderId="18" xfId="88" applyNumberFormat="1" applyFont="1" applyFill="1" applyBorder="1" applyAlignment="1" applyProtection="1">
      <alignment horizontal="right"/>
      <protection locked="0"/>
    </xf>
    <xf numFmtId="0" fontId="0" fillId="30" borderId="0" xfId="0" applyFill="1" applyProtection="1"/>
    <xf numFmtId="173" fontId="16" fillId="0" borderId="0" xfId="0" applyNumberFormat="1" applyFont="1" applyFill="1" applyBorder="1" applyProtection="1"/>
    <xf numFmtId="0" fontId="0" fillId="0" borderId="0" xfId="0" applyBorder="1" applyProtection="1"/>
    <xf numFmtId="0" fontId="0" fillId="0" borderId="0" xfId="0" applyProtection="1"/>
    <xf numFmtId="0" fontId="16" fillId="0" borderId="0" xfId="0" applyFont="1" applyProtection="1"/>
    <xf numFmtId="0" fontId="16" fillId="0" borderId="0" xfId="0" applyFont="1" applyAlignment="1" applyProtection="1">
      <alignment horizontal="center"/>
    </xf>
    <xf numFmtId="0" fontId="9" fillId="0" borderId="0" xfId="264" applyNumberFormat="1" applyFont="1" applyFill="1" applyBorder="1" applyAlignment="1" applyProtection="1"/>
    <xf numFmtId="0" fontId="16" fillId="0" borderId="0" xfId="0" applyFont="1" applyFill="1" applyProtection="1"/>
    <xf numFmtId="0" fontId="16" fillId="0" borderId="0" xfId="0" applyFont="1" applyBorder="1" applyProtection="1"/>
    <xf numFmtId="0" fontId="0" fillId="0" borderId="0" xfId="0" applyAlignment="1" applyProtection="1">
      <alignment wrapText="1"/>
    </xf>
    <xf numFmtId="0" fontId="13" fillId="0" borderId="0" xfId="0" applyFont="1" applyFill="1" applyBorder="1" applyAlignment="1" applyProtection="1">
      <alignment horizontal="center"/>
    </xf>
    <xf numFmtId="0" fontId="22" fillId="0" borderId="0" xfId="0" applyFont="1" applyFill="1" applyAlignment="1" applyProtection="1">
      <alignment horizontal="right"/>
    </xf>
    <xf numFmtId="0" fontId="22" fillId="0" borderId="0" xfId="0" applyFont="1" applyFill="1" applyAlignment="1" applyProtection="1">
      <alignment horizontal="lef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10" fontId="16" fillId="0" borderId="0" xfId="0" applyNumberFormat="1" applyFont="1" applyProtection="1"/>
    <xf numFmtId="173" fontId="16" fillId="0" borderId="0" xfId="86" applyNumberFormat="1" applyFont="1" applyProtection="1"/>
    <xf numFmtId="0" fontId="16" fillId="0" borderId="0" xfId="0" applyFont="1" applyFill="1" applyBorder="1" applyProtection="1"/>
    <xf numFmtId="173" fontId="16" fillId="0" borderId="0" xfId="86" applyNumberFormat="1" applyFont="1" applyBorder="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2" fontId="16" fillId="0" borderId="15" xfId="264" applyFont="1" applyBorder="1" applyAlignment="1" applyProtection="1"/>
    <xf numFmtId="3" fontId="16" fillId="0" borderId="25" xfId="264" applyNumberFormat="1" applyFont="1" applyBorder="1" applyAlignment="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23" fillId="31" borderId="0" xfId="86" applyNumberFormat="1" applyFont="1" applyFill="1" applyAlignment="1" applyProtection="1">
      <alignment horizontal="left"/>
      <protection locked="0"/>
    </xf>
    <xf numFmtId="0" fontId="161" fillId="31" borderId="18" xfId="0" applyFont="1" applyFill="1" applyBorder="1" applyAlignment="1" applyProtection="1">
      <alignment horizontal="right"/>
      <protection locked="0"/>
    </xf>
    <xf numFmtId="0" fontId="12" fillId="31" borderId="20" xfId="0" applyFont="1" applyFill="1" applyBorder="1" applyAlignment="1" applyProtection="1">
      <alignment horizontal="right"/>
      <protection locked="0"/>
    </xf>
    <xf numFmtId="173" fontId="12" fillId="31" borderId="18" xfId="0" applyNumberFormat="1" applyFont="1" applyFill="1" applyBorder="1" applyAlignment="1" applyProtection="1">
      <alignment horizontal="right"/>
      <protection locked="0"/>
    </xf>
    <xf numFmtId="173" fontId="161" fillId="31" borderId="18" xfId="88" applyNumberFormat="1" applyFont="1" applyFill="1" applyBorder="1" applyAlignment="1" applyProtection="1">
      <alignment horizontal="right"/>
      <protection locked="0"/>
    </xf>
    <xf numFmtId="173" fontId="16" fillId="30" borderId="0" xfId="0" applyNumberFormat="1" applyFont="1" applyFill="1" applyBorder="1" applyProtection="1"/>
    <xf numFmtId="0" fontId="169" fillId="31" borderId="0" xfId="0" applyFont="1" applyFill="1" applyAlignment="1" applyProtection="1">
      <protection locked="0"/>
    </xf>
    <xf numFmtId="0" fontId="16" fillId="30" borderId="27" xfId="0" applyNumberFormat="1" applyFont="1" applyFill="1" applyBorder="1" applyAlignment="1" applyProtection="1">
      <alignment horizontal="center"/>
    </xf>
    <xf numFmtId="174" fontId="12" fillId="28" borderId="27" xfId="0" applyNumberFormat="1" applyFont="1" applyFill="1" applyBorder="1" applyProtection="1"/>
    <xf numFmtId="173" fontId="12" fillId="31" borderId="0" xfId="89" applyNumberFormat="1" applyFont="1" applyFill="1" applyBorder="1" applyAlignment="1" applyProtection="1">
      <alignment horizontal="right"/>
      <protection locked="0"/>
    </xf>
    <xf numFmtId="0" fontId="75" fillId="31" borderId="0" xfId="265" applyFont="1" applyFill="1" applyAlignment="1" applyProtection="1">
      <alignment horizontal="center"/>
      <protection locked="0"/>
    </xf>
    <xf numFmtId="10" fontId="75" fillId="31" borderId="0" xfId="273" applyNumberFormat="1" applyFont="1" applyFill="1" applyAlignment="1" applyProtection="1">
      <alignment horizontal="center"/>
      <protection locked="0"/>
    </xf>
    <xf numFmtId="0" fontId="169" fillId="31" borderId="0" xfId="0" applyFont="1" applyFill="1" applyAlignment="1" applyProtection="1">
      <protection locked="0"/>
    </xf>
    <xf numFmtId="173" fontId="150" fillId="31" borderId="0" xfId="449" applyNumberFormat="1" applyFont="1" applyFill="1" applyProtection="1">
      <protection locked="0"/>
    </xf>
    <xf numFmtId="41" fontId="146" fillId="0" borderId="0" xfId="606" applyNumberFormat="1" applyFont="1" applyFill="1" applyBorder="1"/>
    <xf numFmtId="176" fontId="122" fillId="31" borderId="0" xfId="645" applyNumberFormat="1" applyFont="1" applyFill="1" applyProtection="1">
      <protection locked="0"/>
    </xf>
    <xf numFmtId="41" fontId="31" fillId="0" borderId="11" xfId="254" applyNumberFormat="1" applyFont="1" applyFill="1" applyBorder="1"/>
    <xf numFmtId="173" fontId="16" fillId="0" borderId="0" xfId="265" applyNumberFormat="1" applyFont="1"/>
    <xf numFmtId="173" fontId="28" fillId="0" borderId="66" xfId="355" applyNumberFormat="1" applyFont="1" applyFill="1" applyBorder="1"/>
    <xf numFmtId="173" fontId="28" fillId="0" borderId="51" xfId="355" applyNumberFormat="1" applyFont="1" applyFill="1" applyBorder="1"/>
    <xf numFmtId="173" fontId="28" fillId="0" borderId="61" xfId="355" applyNumberFormat="1" applyFont="1" applyFill="1" applyBorder="1"/>
    <xf numFmtId="0" fontId="80" fillId="0" borderId="30" xfId="266" applyFont="1" applyBorder="1" applyAlignment="1">
      <alignment horizontal="center"/>
    </xf>
    <xf numFmtId="9" fontId="23" fillId="33" borderId="11" xfId="274" applyFont="1" applyFill="1" applyBorder="1" applyProtection="1">
      <protection locked="0"/>
    </xf>
    <xf numFmtId="9" fontId="9" fillId="33" borderId="0" xfId="274" applyFont="1" applyFill="1"/>
    <xf numFmtId="164" fontId="143" fillId="26" borderId="0" xfId="645" applyNumberFormat="1" applyFont="1" applyFill="1" applyProtection="1">
      <protection locked="0"/>
    </xf>
    <xf numFmtId="164" fontId="143" fillId="26" borderId="11" xfId="645" applyNumberFormat="1" applyFont="1" applyFill="1" applyBorder="1" applyProtection="1">
      <protection locked="0"/>
    </xf>
    <xf numFmtId="0" fontId="6" fillId="0" borderId="0" xfId="638"/>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6" fillId="0" borderId="0" xfId="0" applyFont="1" applyBorder="1" applyAlignment="1">
      <alignment horizontal="center"/>
    </xf>
    <xf numFmtId="0" fontId="9" fillId="0" borderId="0" xfId="654" applyFont="1"/>
    <xf numFmtId="0" fontId="6" fillId="0" borderId="0" xfId="654"/>
    <xf numFmtId="0" fontId="6" fillId="0" borderId="0" xfId="654" applyAlignment="1">
      <alignment horizontal="center"/>
    </xf>
    <xf numFmtId="0" fontId="6" fillId="0" borderId="0" xfId="0" applyFont="1" applyFill="1" applyBorder="1" applyAlignment="1">
      <alignment horizontal="center"/>
    </xf>
    <xf numFmtId="0" fontId="13" fillId="0" borderId="0" xfId="257" applyFont="1" applyFill="1" applyAlignment="1" applyProtection="1">
      <alignment horizontal="center" wrapText="1"/>
    </xf>
    <xf numFmtId="164" fontId="9" fillId="0" borderId="14" xfId="0" applyNumberFormat="1" applyFont="1" applyFill="1" applyBorder="1" applyAlignment="1"/>
    <xf numFmtId="164" fontId="23" fillId="31" borderId="0" xfId="0" applyNumberFormat="1" applyFont="1" applyFill="1" applyBorder="1" applyAlignment="1" applyProtection="1">
      <protection locked="0"/>
    </xf>
    <xf numFmtId="164" fontId="23" fillId="31" borderId="11" xfId="0" applyNumberFormat="1" applyFont="1" applyFill="1" applyBorder="1" applyAlignment="1" applyProtection="1">
      <protection locked="0"/>
    </xf>
    <xf numFmtId="164" fontId="9" fillId="0" borderId="0" xfId="0" applyNumberFormat="1" applyFont="1" applyFill="1"/>
    <xf numFmtId="164" fontId="9" fillId="0" borderId="0" xfId="0" applyNumberFormat="1" applyFont="1"/>
    <xf numFmtId="164" fontId="9" fillId="0" borderId="0" xfId="0" applyNumberFormat="1" applyFont="1" applyFill="1" applyBorder="1" applyAlignment="1"/>
    <xf numFmtId="2" fontId="6" fillId="0" borderId="0" xfId="505" applyNumberFormat="1" applyFont="1"/>
    <xf numFmtId="0" fontId="6" fillId="0" borderId="0" xfId="505" applyFont="1"/>
    <xf numFmtId="0" fontId="9" fillId="0" borderId="0" xfId="505" applyFont="1" applyAlignment="1">
      <alignment horizontal="right"/>
    </xf>
    <xf numFmtId="172" fontId="28" fillId="0" borderId="0" xfId="655" applyFont="1" applyAlignment="1">
      <alignment horizontal="right"/>
    </xf>
    <xf numFmtId="0" fontId="6" fillId="0" borderId="0" xfId="505"/>
    <xf numFmtId="2" fontId="6" fillId="0" borderId="0" xfId="656" applyNumberFormat="1" applyFont="1"/>
    <xf numFmtId="0" fontId="6" fillId="0" borderId="0" xfId="505" applyFont="1" applyAlignment="1">
      <alignment horizontal="right"/>
    </xf>
    <xf numFmtId="172" fontId="6" fillId="0" borderId="0" xfId="655" applyFont="1" applyAlignment="1">
      <alignment horizontal="right"/>
    </xf>
    <xf numFmtId="2" fontId="6" fillId="0" borderId="0" xfId="505" applyNumberFormat="1" applyFont="1" applyAlignment="1">
      <alignment horizontal="center"/>
    </xf>
    <xf numFmtId="0" fontId="6" fillId="0" borderId="0" xfId="505" applyFont="1" applyAlignment="1">
      <alignment horizontal="center"/>
    </xf>
    <xf numFmtId="0" fontId="6" fillId="0" borderId="0" xfId="505" applyFont="1" applyAlignment="1">
      <alignment wrapText="1"/>
    </xf>
    <xf numFmtId="0" fontId="6" fillId="0" borderId="0" xfId="505" applyFont="1" applyAlignment="1">
      <alignment horizontal="center" wrapText="1"/>
    </xf>
    <xf numFmtId="0" fontId="6" fillId="0" borderId="0" xfId="505" applyFont="1" applyFill="1" applyAlignment="1">
      <alignment horizontal="center" wrapText="1"/>
    </xf>
    <xf numFmtId="0" fontId="6" fillId="0" borderId="0" xfId="505" applyFill="1"/>
    <xf numFmtId="0" fontId="6" fillId="0" borderId="0" xfId="505" applyFont="1" applyFill="1"/>
    <xf numFmtId="2" fontId="13" fillId="0" borderId="0" xfId="505" applyNumberFormat="1" applyFont="1"/>
    <xf numFmtId="173" fontId="6" fillId="0" borderId="0" xfId="424" applyNumberFormat="1" applyFont="1"/>
    <xf numFmtId="173" fontId="6" fillId="0" borderId="0" xfId="424" applyNumberFormat="1" applyFont="1" applyFill="1"/>
    <xf numFmtId="1" fontId="6" fillId="0" borderId="0" xfId="505" applyNumberFormat="1" applyFont="1" applyAlignment="1">
      <alignment horizontal="center"/>
    </xf>
    <xf numFmtId="49" fontId="6" fillId="0" borderId="0" xfId="424" applyNumberFormat="1" applyFont="1"/>
    <xf numFmtId="10" fontId="6" fillId="0" borderId="0" xfId="645" applyNumberFormat="1" applyFont="1" applyFill="1"/>
    <xf numFmtId="173" fontId="6" fillId="0" borderId="0" xfId="424" applyNumberFormat="1" applyFont="1" applyAlignment="1">
      <alignment vertical="center"/>
    </xf>
    <xf numFmtId="173" fontId="6" fillId="0" borderId="0" xfId="424" applyNumberFormat="1" applyFont="1" applyAlignment="1">
      <alignment horizontal="left" wrapText="1"/>
    </xf>
    <xf numFmtId="173" fontId="6" fillId="0" borderId="11" xfId="424" applyNumberFormat="1" applyFont="1" applyBorder="1"/>
    <xf numFmtId="9" fontId="6" fillId="0" borderId="0" xfId="645" applyFont="1" applyFill="1"/>
    <xf numFmtId="10" fontId="6" fillId="0" borderId="0" xfId="645" applyNumberFormat="1" applyFont="1" applyFill="1" applyAlignment="1"/>
    <xf numFmtId="9" fontId="6" fillId="0" borderId="0" xfId="645" applyNumberFormat="1" applyFont="1" applyFill="1"/>
    <xf numFmtId="201" fontId="6" fillId="0" borderId="0" xfId="424" applyNumberFormat="1" applyFont="1" applyFill="1"/>
    <xf numFmtId="43" fontId="6" fillId="0" borderId="0" xfId="424" applyNumberFormat="1" applyFont="1" applyFill="1"/>
    <xf numFmtId="0" fontId="6" fillId="0" borderId="0" xfId="505" quotePrefix="1" applyFont="1"/>
    <xf numFmtId="173" fontId="6" fillId="0" borderId="70" xfId="424" applyNumberFormat="1" applyFont="1" applyFill="1" applyBorder="1"/>
    <xf numFmtId="173" fontId="6" fillId="0" borderId="0" xfId="424" applyNumberFormat="1" applyFont="1" applyFill="1" applyBorder="1"/>
    <xf numFmtId="1" fontId="13" fillId="0" borderId="0" xfId="505" applyNumberFormat="1" applyFont="1" applyAlignment="1">
      <alignment horizontal="left"/>
    </xf>
    <xf numFmtId="173" fontId="6" fillId="0" borderId="0" xfId="424" applyNumberFormat="1" applyFont="1" applyBorder="1"/>
    <xf numFmtId="173" fontId="28" fillId="0" borderId="0" xfId="424" applyNumberFormat="1" applyFont="1" applyBorder="1" applyAlignment="1">
      <alignment horizontal="center"/>
    </xf>
    <xf numFmtId="0" fontId="6" fillId="0" borderId="0" xfId="505" applyFont="1" applyBorder="1"/>
    <xf numFmtId="173" fontId="0" fillId="0" borderId="0" xfId="424" applyNumberFormat="1" applyFont="1"/>
    <xf numFmtId="2" fontId="6" fillId="0" borderId="0" xfId="505" applyNumberFormat="1"/>
    <xf numFmtId="173" fontId="143" fillId="31" borderId="0" xfId="449" applyNumberFormat="1" applyFont="1" applyFill="1" applyProtection="1">
      <protection locked="0"/>
    </xf>
    <xf numFmtId="0" fontId="29" fillId="0" borderId="71" xfId="354" applyFont="1" applyBorder="1" applyAlignment="1">
      <alignment horizontal="center" wrapText="1"/>
    </xf>
    <xf numFmtId="0" fontId="28" fillId="0" borderId="0" xfId="354" applyFont="1" applyFill="1" applyAlignment="1"/>
    <xf numFmtId="41" fontId="23" fillId="0" borderId="0" xfId="254" applyNumberFormat="1" applyFont="1"/>
    <xf numFmtId="3" fontId="154" fillId="0" borderId="0" xfId="264" applyNumberFormat="1" applyFont="1" applyFill="1" applyAlignment="1" applyProtection="1">
      <alignment horizontal="center"/>
    </xf>
    <xf numFmtId="0" fontId="9" fillId="0" borderId="0" xfId="0" applyFont="1" applyAlignment="1" applyProtection="1">
      <alignment wrapText="1"/>
    </xf>
    <xf numFmtId="0" fontId="16" fillId="0" borderId="0" xfId="0" applyFont="1" applyAlignment="1" applyProtection="1">
      <alignment wrapText="1"/>
    </xf>
    <xf numFmtId="172" fontId="138" fillId="0" borderId="0" xfId="264" applyFont="1" applyFill="1" applyAlignment="1" applyProtection="1">
      <alignment vertical="top" wrapText="1"/>
    </xf>
    <xf numFmtId="0" fontId="134" fillId="0" borderId="0" xfId="0" applyFont="1" applyFill="1" applyAlignment="1" applyProtection="1">
      <alignment vertical="top" wrapText="1"/>
    </xf>
    <xf numFmtId="172" fontId="30" fillId="0" borderId="0" xfId="264" applyFont="1" applyFill="1" applyAlignment="1" applyProtection="1">
      <alignment wrapText="1"/>
    </xf>
    <xf numFmtId="172" fontId="9" fillId="0" borderId="0" xfId="264"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18" fillId="0" borderId="0" xfId="264" applyFont="1" applyFill="1" applyAlignment="1" applyProtection="1">
      <alignment wrapText="1"/>
    </xf>
    <xf numFmtId="0" fontId="36" fillId="0" borderId="0" xfId="0" applyFont="1" applyAlignment="1" applyProtection="1">
      <alignment wrapText="1"/>
    </xf>
    <xf numFmtId="0" fontId="30" fillId="0" borderId="0" xfId="264" applyNumberFormat="1" applyFont="1" applyFill="1" applyAlignment="1" applyProtection="1">
      <alignment horizontal="left" wrapText="1"/>
    </xf>
    <xf numFmtId="3" fontId="9" fillId="0" borderId="0" xfId="264" applyNumberFormat="1" applyFont="1" applyAlignment="1" applyProtection="1">
      <alignment horizontal="left" wrapText="1"/>
    </xf>
    <xf numFmtId="0" fontId="16" fillId="0" borderId="0" xfId="0" applyFont="1" applyAlignment="1" applyProtection="1">
      <alignment horizontal="left" wrapText="1"/>
    </xf>
    <xf numFmtId="172" fontId="80" fillId="0" borderId="0" xfId="264" applyFont="1" applyAlignment="1" applyProtection="1">
      <alignment horizontal="left" wrapText="1"/>
    </xf>
    <xf numFmtId="49" fontId="9" fillId="0" borderId="0" xfId="264" applyNumberFormat="1" applyFont="1" applyAlignment="1" applyProtection="1">
      <alignment horizontal="center"/>
    </xf>
    <xf numFmtId="0" fontId="36" fillId="0" borderId="0" xfId="0" applyFont="1" applyAlignment="1" applyProtection="1">
      <alignment horizontal="center"/>
    </xf>
    <xf numFmtId="0" fontId="14" fillId="0" borderId="0" xfId="264"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172" fontId="10" fillId="0" borderId="11" xfId="264" applyFont="1" applyBorder="1" applyAlignment="1" applyProtection="1">
      <alignment horizontal="center"/>
    </xf>
    <xf numFmtId="0" fontId="9" fillId="0" borderId="0" xfId="0" applyFont="1" applyFill="1" applyAlignment="1" applyProtection="1">
      <alignment horizontal="left" vertical="top" wrapText="1"/>
    </xf>
    <xf numFmtId="172" fontId="9" fillId="0" borderId="0" xfId="264" applyFont="1" applyAlignment="1" applyProtection="1">
      <alignment horizontal="left" wrapText="1"/>
    </xf>
    <xf numFmtId="0" fontId="9" fillId="0" borderId="0" xfId="264" applyNumberFormat="1" applyFont="1" applyFill="1" applyAlignment="1" applyProtection="1">
      <alignment horizontal="left" wrapText="1"/>
    </xf>
    <xf numFmtId="0" fontId="9" fillId="0" borderId="0" xfId="264" applyNumberFormat="1" applyFont="1" applyFill="1" applyAlignment="1" applyProtection="1">
      <alignment horizontal="left" vertical="top" wrapText="1"/>
    </xf>
    <xf numFmtId="172" fontId="9" fillId="0" borderId="0" xfId="264" applyFont="1" applyFill="1" applyAlignment="1" applyProtection="1">
      <alignment horizontal="left" wrapText="1"/>
    </xf>
    <xf numFmtId="172" fontId="30" fillId="0" borderId="0" xfId="264" applyFont="1" applyFill="1" applyAlignment="1" applyProtection="1">
      <alignment vertical="top" wrapText="1"/>
    </xf>
    <xf numFmtId="0" fontId="30" fillId="0" borderId="0" xfId="0" applyFont="1" applyAlignment="1" applyProtection="1">
      <alignment vertical="top" wrapText="1"/>
    </xf>
    <xf numFmtId="172" fontId="9" fillId="0" borderId="0" xfId="264" applyFont="1" applyAlignment="1" applyProtection="1">
      <alignment horizontal="left"/>
    </xf>
    <xf numFmtId="0" fontId="9" fillId="0" borderId="0" xfId="0" applyFont="1" applyAlignment="1">
      <alignment horizontal="center"/>
    </xf>
    <xf numFmtId="0" fontId="9" fillId="0" borderId="0" xfId="215" applyFont="1" applyBorder="1" applyAlignment="1">
      <alignment horizontal="center"/>
    </xf>
    <xf numFmtId="0" fontId="13" fillId="0" borderId="49" xfId="267" applyFont="1" applyBorder="1" applyAlignment="1">
      <alignment horizontal="center" wrapText="1"/>
    </xf>
    <xf numFmtId="0" fontId="13" fillId="0" borderId="13" xfId="267" applyFont="1" applyBorder="1" applyAlignment="1">
      <alignment horizontal="center" wrapText="1"/>
    </xf>
    <xf numFmtId="0" fontId="13" fillId="0" borderId="50" xfId="267" applyFont="1" applyBorder="1" applyAlignment="1">
      <alignment horizontal="center" wrapText="1"/>
    </xf>
    <xf numFmtId="0" fontId="13" fillId="0" borderId="49" xfId="193" applyFont="1" applyBorder="1" applyAlignment="1">
      <alignment horizontal="center"/>
    </xf>
    <xf numFmtId="0" fontId="13" fillId="0" borderId="13" xfId="193" applyFont="1" applyBorder="1" applyAlignment="1">
      <alignment horizontal="center"/>
    </xf>
    <xf numFmtId="0" fontId="13" fillId="0" borderId="50" xfId="193" applyFont="1" applyBorder="1" applyAlignment="1">
      <alignment horizontal="center"/>
    </xf>
    <xf numFmtId="3" fontId="9" fillId="0" borderId="0" xfId="215" applyNumberFormat="1" applyFont="1" applyBorder="1" applyAlignment="1">
      <alignment horizontal="center"/>
    </xf>
    <xf numFmtId="0" fontId="16" fillId="0" borderId="0" xfId="215" applyFont="1" applyFill="1" applyBorder="1" applyAlignment="1">
      <alignment horizontal="left" wrapText="1"/>
    </xf>
    <xf numFmtId="0" fontId="21" fillId="0" borderId="0" xfId="254"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15" quotePrefix="1" applyFont="1" applyBorder="1" applyAlignment="1">
      <alignment horizontal="center" wrapText="1"/>
    </xf>
    <xf numFmtId="41" fontId="28" fillId="31" borderId="34" xfId="256" applyNumberFormat="1" applyFont="1" applyFill="1" applyBorder="1" applyAlignment="1" applyProtection="1">
      <alignment vertical="center"/>
      <protection locked="0"/>
    </xf>
    <xf numFmtId="41" fontId="28" fillId="31" borderId="34" xfId="256" applyNumberFormat="1" applyFont="1" applyFill="1" applyBorder="1" applyAlignment="1" applyProtection="1">
      <alignment horizontal="left" vertical="center" wrapText="1"/>
      <protection locked="0"/>
    </xf>
    <xf numFmtId="0" fontId="28" fillId="0" borderId="0" xfId="354" applyFont="1" applyAlignment="1">
      <alignment horizontal="left" wrapText="1"/>
    </xf>
    <xf numFmtId="0" fontId="28" fillId="0" borderId="0" xfId="354" applyFont="1" applyAlignment="1">
      <alignment horizontal="center" wrapText="1"/>
    </xf>
    <xf numFmtId="0" fontId="28" fillId="0" borderId="11" xfId="354" applyFont="1" applyBorder="1" applyAlignment="1">
      <alignment horizontal="center" wrapText="1"/>
    </xf>
    <xf numFmtId="0" fontId="28" fillId="0" borderId="11" xfId="354" applyFont="1" applyBorder="1" applyAlignment="1">
      <alignment horizontal="center"/>
    </xf>
    <xf numFmtId="0" fontId="29" fillId="0" borderId="0" xfId="354" applyFont="1" applyBorder="1" applyAlignment="1">
      <alignment horizontal="center" wrapText="1"/>
    </xf>
    <xf numFmtId="172" fontId="28" fillId="0" borderId="11" xfId="350" applyFont="1" applyBorder="1" applyAlignment="1">
      <alignment horizontal="center"/>
    </xf>
    <xf numFmtId="0" fontId="28" fillId="0" borderId="0" xfId="354" applyFont="1" applyAlignment="1">
      <alignment horizontal="left" vertical="top" wrapText="1"/>
    </xf>
    <xf numFmtId="0" fontId="6" fillId="0" borderId="0" xfId="505" applyFont="1" applyAlignment="1">
      <alignment horizontal="left" wrapText="1"/>
    </xf>
    <xf numFmtId="2" fontId="6" fillId="0" borderId="0" xfId="505" applyNumberFormat="1" applyFont="1" applyAlignment="1">
      <alignment horizontal="left" wrapText="1"/>
    </xf>
    <xf numFmtId="41" fontId="13" fillId="0" borderId="11" xfId="657" applyNumberFormat="1" applyFont="1" applyFill="1" applyBorder="1" applyAlignment="1" applyProtection="1">
      <alignment horizontal="center"/>
      <protection locked="0"/>
    </xf>
    <xf numFmtId="10" fontId="6" fillId="0" borderId="0" xfId="645" applyNumberFormat="1" applyFont="1" applyFill="1" applyAlignment="1">
      <alignment horizontal="center" wrapText="1"/>
    </xf>
    <xf numFmtId="9" fontId="6" fillId="0" borderId="0" xfId="645" applyFont="1" applyFill="1" applyAlignment="1">
      <alignment horizontal="center" wrapText="1"/>
    </xf>
    <xf numFmtId="0" fontId="16" fillId="0" borderId="0" xfId="215" applyNumberFormat="1" applyFont="1" applyFill="1" applyBorder="1" applyAlignment="1">
      <alignment horizontal="left" wrapText="1"/>
    </xf>
    <xf numFmtId="0" fontId="83" fillId="0" borderId="0" xfId="254" applyFont="1" applyFill="1" applyAlignment="1">
      <alignment horizontal="center"/>
    </xf>
    <xf numFmtId="0" fontId="83" fillId="0" borderId="0" xfId="215" applyNumberFormat="1" applyFont="1" applyFill="1" applyBorder="1" applyAlignment="1">
      <alignment horizontal="center"/>
    </xf>
    <xf numFmtId="0" fontId="21" fillId="0" borderId="0" xfId="254" applyFont="1" applyBorder="1" applyAlignment="1">
      <alignment horizontal="center" wrapText="1"/>
    </xf>
    <xf numFmtId="0" fontId="17" fillId="0" borderId="0" xfId="0" applyFont="1" applyBorder="1" applyAlignment="1">
      <alignment horizontal="center" wrapText="1"/>
    </xf>
    <xf numFmtId="0" fontId="83" fillId="0" borderId="0" xfId="0" applyFont="1" applyFill="1" applyAlignment="1">
      <alignment horizontal="center"/>
    </xf>
    <xf numFmtId="0" fontId="9" fillId="0" borderId="0" xfId="0" applyFont="1" applyAlignment="1" applyProtection="1">
      <alignment horizontal="center"/>
    </xf>
    <xf numFmtId="0" fontId="9" fillId="0" borderId="0" xfId="215" applyFont="1" applyBorder="1" applyAlignment="1" applyProtection="1">
      <alignment horizontal="center"/>
    </xf>
    <xf numFmtId="3" fontId="9" fillId="0" borderId="0" xfId="0" applyNumberFormat="1" applyFont="1" applyAlignment="1" applyProtection="1">
      <alignment horizontal="center"/>
    </xf>
    <xf numFmtId="172" fontId="16" fillId="0" borderId="0" xfId="264" applyFont="1" applyFill="1" applyAlignment="1" applyProtection="1">
      <alignment horizontal="left" vertical="top" wrapText="1"/>
    </xf>
    <xf numFmtId="0" fontId="13" fillId="0" borderId="0" xfId="268" applyFont="1" applyFill="1" applyAlignment="1" applyProtection="1">
      <alignment wrapText="1"/>
    </xf>
    <xf numFmtId="3" fontId="8" fillId="0" borderId="0" xfId="0" applyNumberFormat="1" applyFont="1" applyAlignment="1" applyProtection="1">
      <alignment horizontal="center"/>
    </xf>
    <xf numFmtId="0" fontId="14" fillId="0" borderId="0" xfId="268"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10" fillId="0" borderId="11" xfId="265" applyFont="1" applyBorder="1" applyAlignment="1">
      <alignment horizontal="center"/>
    </xf>
    <xf numFmtId="0" fontId="75" fillId="0" borderId="0" xfId="265" applyFont="1" applyFill="1" applyAlignment="1">
      <alignment horizontal="left" wrapText="1"/>
    </xf>
    <xf numFmtId="0" fontId="75" fillId="0" borderId="0" xfId="265" applyFont="1" applyFill="1" applyAlignment="1">
      <alignment wrapText="1"/>
    </xf>
    <xf numFmtId="0" fontId="8" fillId="0" borderId="0" xfId="215" applyFont="1" applyBorder="1" applyAlignment="1">
      <alignment horizontal="center"/>
    </xf>
    <xf numFmtId="0" fontId="8" fillId="0" borderId="0" xfId="0" applyFont="1" applyAlignment="1">
      <alignment horizontal="center"/>
    </xf>
    <xf numFmtId="0" fontId="0" fillId="0" borderId="0" xfId="0" applyNumberFormat="1" applyAlignment="1" applyProtection="1">
      <alignment horizontal="left" wrapText="1"/>
    </xf>
    <xf numFmtId="173" fontId="100" fillId="0" borderId="0" xfId="88" applyNumberFormat="1" applyFont="1" applyBorder="1" applyAlignment="1" applyProtection="1">
      <alignment horizontal="center"/>
    </xf>
    <xf numFmtId="0" fontId="169" fillId="31" borderId="0" xfId="0" applyFont="1" applyFill="1" applyAlignment="1" applyProtection="1">
      <alignment horizontal="left"/>
      <protection locked="0"/>
    </xf>
    <xf numFmtId="0" fontId="169" fillId="31" borderId="0" xfId="0" applyFont="1" applyFill="1" applyAlignment="1" applyProtection="1">
      <alignment horizontal="left"/>
    </xf>
    <xf numFmtId="172" fontId="6" fillId="0" borderId="21" xfId="264" applyFont="1" applyBorder="1" applyAlignment="1" applyProtection="1">
      <alignment wrapText="1"/>
    </xf>
    <xf numFmtId="0" fontId="6" fillId="0" borderId="15" xfId="0" applyFont="1" applyBorder="1" applyAlignment="1" applyProtection="1">
      <alignment wrapText="1"/>
    </xf>
    <xf numFmtId="0" fontId="6" fillId="0" borderId="25"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73" fillId="31" borderId="0" xfId="0" applyFont="1" applyFill="1" applyAlignment="1" applyProtection="1">
      <alignment horizontal="left"/>
      <protection locked="0"/>
    </xf>
    <xf numFmtId="0" fontId="73" fillId="31" borderId="0" xfId="0" applyFont="1" applyFill="1" applyAlignment="1" applyProtection="1">
      <alignment horizontal="left" wrapText="1"/>
      <protection locked="0"/>
    </xf>
    <xf numFmtId="0" fontId="0" fillId="31" borderId="0" xfId="0" applyFill="1" applyAlignment="1" applyProtection="1">
      <alignment wrapText="1"/>
      <protection locked="0"/>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69" fillId="30" borderId="0" xfId="0" applyFont="1" applyFill="1" applyAlignment="1" applyProtection="1">
      <alignment horizontal="left"/>
      <protection locked="0"/>
    </xf>
    <xf numFmtId="0" fontId="16" fillId="0" borderId="0" xfId="257" applyFont="1" applyFill="1" applyAlignment="1" applyProtection="1">
      <alignment horizontal="left" wrapText="1"/>
    </xf>
    <xf numFmtId="0" fontId="16" fillId="0" borderId="0" xfId="187" applyFont="1" applyFill="1" applyAlignment="1" applyProtection="1">
      <alignment wrapText="1"/>
    </xf>
    <xf numFmtId="0" fontId="93" fillId="0" borderId="0" xfId="257"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7" applyNumberFormat="1" applyFont="1" applyFill="1" applyBorder="1" applyAlignment="1" applyProtection="1">
      <alignment horizontal="center" wrapText="1"/>
    </xf>
    <xf numFmtId="0" fontId="13" fillId="0" borderId="49" xfId="0" applyFont="1" applyBorder="1" applyAlignment="1">
      <alignment horizontal="center"/>
    </xf>
    <xf numFmtId="0" fontId="13" fillId="0" borderId="13" xfId="0" applyFont="1" applyBorder="1" applyAlignment="1">
      <alignment horizontal="center"/>
    </xf>
    <xf numFmtId="0" fontId="13" fillId="0" borderId="50" xfId="0" applyFont="1" applyBorder="1" applyAlignment="1">
      <alignment horizontal="center"/>
    </xf>
    <xf numFmtId="0" fontId="99" fillId="0" borderId="0" xfId="0" applyFont="1" applyAlignment="1">
      <alignment horizontal="center" wrapText="1"/>
    </xf>
    <xf numFmtId="0" fontId="13" fillId="0" borderId="0" xfId="0" applyFont="1" applyAlignment="1">
      <alignment horizontal="center" wrapText="1"/>
    </xf>
    <xf numFmtId="0" fontId="24" fillId="31"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51" fillId="0" borderId="0" xfId="0" applyFont="1" applyAlignment="1">
      <alignment horizontal="left" wrapText="1"/>
    </xf>
    <xf numFmtId="0" fontId="143" fillId="0" borderId="0" xfId="0" applyFont="1" applyAlignment="1">
      <alignment wrapText="1"/>
    </xf>
    <xf numFmtId="0" fontId="143" fillId="0" borderId="0" xfId="0" applyFont="1" applyFill="1" applyAlignment="1">
      <alignment horizontal="left" wrapText="1"/>
    </xf>
    <xf numFmtId="0" fontId="145" fillId="0" borderId="0" xfId="0" applyFont="1" applyAlignment="1">
      <alignment horizontal="center"/>
    </xf>
    <xf numFmtId="0" fontId="145" fillId="0" borderId="0" xfId="0" applyFont="1" applyAlignment="1">
      <alignment horizontal="center" wrapText="1"/>
    </xf>
    <xf numFmtId="173" fontId="145" fillId="0" borderId="0" xfId="112" applyNumberFormat="1" applyFont="1" applyAlignment="1">
      <alignment horizontal="center" wrapText="1"/>
    </xf>
    <xf numFmtId="0" fontId="138" fillId="0" borderId="0" xfId="0" applyFont="1" applyAlignment="1">
      <alignment horizontal="center"/>
    </xf>
    <xf numFmtId="0" fontId="138" fillId="0" borderId="0" xfId="215" applyFont="1" applyBorder="1" applyAlignment="1">
      <alignment horizontal="center"/>
    </xf>
    <xf numFmtId="0" fontId="143" fillId="0" borderId="0" xfId="0" applyFont="1" applyAlignment="1">
      <alignment horizontal="center"/>
    </xf>
    <xf numFmtId="0" fontId="138" fillId="0" borderId="0" xfId="215" applyFont="1" applyFill="1" applyBorder="1" applyAlignment="1">
      <alignment horizontal="center"/>
    </xf>
    <xf numFmtId="3" fontId="138" fillId="0" borderId="0" xfId="0" applyNumberFormat="1" applyFont="1" applyAlignment="1">
      <alignment horizontal="center"/>
    </xf>
    <xf numFmtId="0" fontId="7" fillId="0" borderId="0" xfId="266" applyFont="1" applyAlignment="1" applyProtection="1">
      <alignment horizontal="left" wrapText="1"/>
    </xf>
    <xf numFmtId="0" fontId="9" fillId="0" borderId="0" xfId="263" applyFont="1" applyAlignment="1" applyProtection="1">
      <alignment vertical="top" wrapText="1"/>
    </xf>
    <xf numFmtId="0" fontId="7" fillId="0" borderId="0" xfId="0" applyFont="1" applyAlignment="1" applyProtection="1">
      <alignment vertical="top" wrapText="1"/>
    </xf>
    <xf numFmtId="0" fontId="109" fillId="0" borderId="0" xfId="266" applyFont="1" applyAlignment="1" applyProtection="1">
      <alignment horizontal="center"/>
    </xf>
    <xf numFmtId="3" fontId="109" fillId="0" borderId="0" xfId="266" applyNumberFormat="1" applyFont="1" applyAlignment="1" applyProtection="1">
      <alignment horizontal="center"/>
    </xf>
    <xf numFmtId="44" fontId="109" fillId="0" borderId="0" xfId="119" applyFont="1" applyAlignment="1" applyProtection="1">
      <alignment horizontal="center"/>
    </xf>
    <xf numFmtId="0" fontId="80" fillId="0" borderId="30" xfId="266" applyFont="1" applyBorder="1" applyAlignment="1" applyProtection="1">
      <alignment horizontal="center"/>
    </xf>
    <xf numFmtId="0" fontId="109" fillId="0" borderId="0" xfId="266" applyFont="1" applyAlignment="1">
      <alignment horizontal="center"/>
    </xf>
    <xf numFmtId="0" fontId="9" fillId="0" borderId="0" xfId="638" applyFont="1" applyAlignment="1">
      <alignment wrapText="1"/>
    </xf>
    <xf numFmtId="44" fontId="109" fillId="0" borderId="0" xfId="456" applyFont="1" applyAlignment="1">
      <alignment horizontal="center"/>
    </xf>
    <xf numFmtId="0" fontId="80" fillId="0" borderId="30" xfId="266" applyFont="1" applyBorder="1" applyAlignment="1">
      <alignment horizontal="center"/>
    </xf>
    <xf numFmtId="0" fontId="80" fillId="0" borderId="0" xfId="638" applyFont="1" applyAlignment="1">
      <alignment vertical="top" wrapText="1"/>
    </xf>
    <xf numFmtId="0" fontId="6" fillId="0" borderId="0" xfId="638" applyAlignment="1">
      <alignment vertical="top" wrapText="1"/>
    </xf>
    <xf numFmtId="0" fontId="9" fillId="0" borderId="0" xfId="654" applyFont="1" applyAlignment="1">
      <alignment vertical="top" wrapText="1"/>
    </xf>
    <xf numFmtId="0" fontId="139" fillId="0" borderId="0" xfId="266" applyFont="1" applyAlignment="1">
      <alignment horizontal="center"/>
    </xf>
    <xf numFmtId="0" fontId="7" fillId="0" borderId="0" xfId="266" applyAlignment="1">
      <alignment wrapText="1"/>
    </xf>
    <xf numFmtId="0" fontId="9" fillId="0" borderId="0" xfId="169" applyFont="1" applyAlignment="1">
      <alignment vertical="top" wrapText="1"/>
    </xf>
    <xf numFmtId="0" fontId="80" fillId="0" borderId="0" xfId="0" applyFont="1" applyAlignment="1" applyProtection="1">
      <alignment horizontal="center"/>
    </xf>
    <xf numFmtId="0" fontId="10" fillId="0" borderId="0" xfId="0" applyFont="1" applyFill="1" applyAlignment="1" applyProtection="1">
      <alignment horizontal="center"/>
    </xf>
    <xf numFmtId="0" fontId="122" fillId="0" borderId="0" xfId="0" applyFont="1" applyFill="1" applyAlignment="1" applyProtection="1">
      <alignment horizontal="center" wrapText="1"/>
    </xf>
    <xf numFmtId="0" fontId="6" fillId="0" borderId="0" xfId="0" applyFont="1" applyFill="1"/>
  </cellXfs>
  <cellStyles count="65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403" xr:uid="{00000000-0005-0000-0000-000036000000}"/>
    <cellStyle name="C01B" xfId="55" xr:uid="{00000000-0005-0000-0000-000037000000}"/>
    <cellStyle name="C01B 2" xfId="417" xr:uid="{00000000-0005-0000-0000-000038000000}"/>
    <cellStyle name="C01H" xfId="56" xr:uid="{00000000-0005-0000-0000-000039000000}"/>
    <cellStyle name="C01L" xfId="57" xr:uid="{00000000-0005-0000-0000-00003A000000}"/>
    <cellStyle name="C02A" xfId="58" xr:uid="{00000000-0005-0000-0000-00003B000000}"/>
    <cellStyle name="C02A 2" xfId="363" xr:uid="{00000000-0005-0000-0000-00003C000000}"/>
    <cellStyle name="C02A 3" xfId="402" xr:uid="{00000000-0005-0000-0000-00003D000000}"/>
    <cellStyle name="C02A 4" xfId="356" xr:uid="{00000000-0005-0000-0000-00003E000000}"/>
    <cellStyle name="C02B" xfId="59" xr:uid="{00000000-0005-0000-0000-00003F000000}"/>
    <cellStyle name="C02B 2" xfId="418" xr:uid="{00000000-0005-0000-0000-000040000000}"/>
    <cellStyle name="C02H" xfId="60" xr:uid="{00000000-0005-0000-0000-000041000000}"/>
    <cellStyle name="C02L" xfId="61" xr:uid="{00000000-0005-0000-0000-000042000000}"/>
    <cellStyle name="C03A" xfId="62" xr:uid="{00000000-0005-0000-0000-000043000000}"/>
    <cellStyle name="C03B" xfId="63" xr:uid="{00000000-0005-0000-0000-000044000000}"/>
    <cellStyle name="C03H" xfId="64" xr:uid="{00000000-0005-0000-0000-000045000000}"/>
    <cellStyle name="C03L" xfId="65" xr:uid="{00000000-0005-0000-0000-000046000000}"/>
    <cellStyle name="C04A" xfId="66" xr:uid="{00000000-0005-0000-0000-000047000000}"/>
    <cellStyle name="C04A 2" xfId="419" xr:uid="{00000000-0005-0000-0000-000048000000}"/>
    <cellStyle name="C04B" xfId="67" xr:uid="{00000000-0005-0000-0000-000049000000}"/>
    <cellStyle name="C04H" xfId="68" xr:uid="{00000000-0005-0000-0000-00004A000000}"/>
    <cellStyle name="C04L" xfId="69" xr:uid="{00000000-0005-0000-0000-00004B000000}"/>
    <cellStyle name="C05A" xfId="70" xr:uid="{00000000-0005-0000-0000-00004C000000}"/>
    <cellStyle name="C05B" xfId="71" xr:uid="{00000000-0005-0000-0000-00004D000000}"/>
    <cellStyle name="C05H" xfId="72" xr:uid="{00000000-0005-0000-0000-00004E000000}"/>
    <cellStyle name="C05L" xfId="73" xr:uid="{00000000-0005-0000-0000-00004F000000}"/>
    <cellStyle name="C05L 2" xfId="420" xr:uid="{00000000-0005-0000-0000-000050000000}"/>
    <cellStyle name="C06A" xfId="74" xr:uid="{00000000-0005-0000-0000-000051000000}"/>
    <cellStyle name="C06B" xfId="75" xr:uid="{00000000-0005-0000-0000-000052000000}"/>
    <cellStyle name="C06H" xfId="76" xr:uid="{00000000-0005-0000-0000-000053000000}"/>
    <cellStyle name="C06L" xfId="77" xr:uid="{00000000-0005-0000-0000-000054000000}"/>
    <cellStyle name="C07A" xfId="78" xr:uid="{00000000-0005-0000-0000-000055000000}"/>
    <cellStyle name="C07B" xfId="79" xr:uid="{00000000-0005-0000-0000-000056000000}"/>
    <cellStyle name="C07H" xfId="80" xr:uid="{00000000-0005-0000-0000-000057000000}"/>
    <cellStyle name="C07L" xfId="81" xr:uid="{00000000-0005-0000-0000-000058000000}"/>
    <cellStyle name="Calculation" xfId="82" builtinId="22" customBuiltin="1"/>
    <cellStyle name="Calculation 2" xfId="83" xr:uid="{00000000-0005-0000-0000-00005A000000}"/>
    <cellStyle name="Calculation 2 2" xfId="365" xr:uid="{00000000-0005-0000-0000-00005B000000}"/>
    <cellStyle name="Calculation 2 3" xfId="392" xr:uid="{00000000-0005-0000-0000-00005C000000}"/>
    <cellStyle name="Calculation 2 4" xfId="362" xr:uid="{00000000-0005-0000-0000-00005D000000}"/>
    <cellStyle name="Calculation 3" xfId="364" xr:uid="{00000000-0005-0000-0000-00005E000000}"/>
    <cellStyle name="Calculation 4" xfId="394" xr:uid="{00000000-0005-0000-0000-00005F000000}"/>
    <cellStyle name="Calculation 5" xfId="361" xr:uid="{00000000-0005-0000-0000-000060000000}"/>
    <cellStyle name="Check Cell" xfId="84" builtinId="23" customBuiltin="1"/>
    <cellStyle name="Check Cell 2" xfId="85" xr:uid="{00000000-0005-0000-0000-000062000000}"/>
    <cellStyle name="Comma" xfId="86" builtinId="3"/>
    <cellStyle name="Comma [0] 2" xfId="353" xr:uid="{00000000-0005-0000-0000-000064000000}"/>
    <cellStyle name="Comma 10" xfId="349" xr:uid="{00000000-0005-0000-0000-000065000000}"/>
    <cellStyle name="Comma 10 2" xfId="421" xr:uid="{00000000-0005-0000-0000-000066000000}"/>
    <cellStyle name="Comma 11" xfId="366" xr:uid="{00000000-0005-0000-0000-000067000000}"/>
    <cellStyle name="Comma 11 2" xfId="610" xr:uid="{00000000-0005-0000-0000-000068000000}"/>
    <cellStyle name="Comma 12 2" xfId="87" xr:uid="{00000000-0005-0000-0000-000069000000}"/>
    <cellStyle name="Comma 12 2 2" xfId="367" xr:uid="{00000000-0005-0000-0000-00006A000000}"/>
    <cellStyle name="Comma 12 2 2 2" xfId="628" xr:uid="{00000000-0005-0000-0000-00006B000000}"/>
    <cellStyle name="Comma 12 2 3" xfId="422" xr:uid="{00000000-0005-0000-0000-00006C000000}"/>
    <cellStyle name="Comma 12 2 4" xfId="615" xr:uid="{00000000-0005-0000-0000-00006D000000}"/>
    <cellStyle name="Comma 2" xfId="88" xr:uid="{00000000-0005-0000-0000-00006E000000}"/>
    <cellStyle name="Comma 2 2" xfId="89" xr:uid="{00000000-0005-0000-0000-00006F000000}"/>
    <cellStyle name="Comma 2 2 2" xfId="424" xr:uid="{00000000-0005-0000-0000-000070000000}"/>
    <cellStyle name="Comma 2 3" xfId="423" xr:uid="{00000000-0005-0000-0000-000071000000}"/>
    <cellStyle name="Comma 3" xfId="90" xr:uid="{00000000-0005-0000-0000-000072000000}"/>
    <cellStyle name="Comma 3 10" xfId="425" xr:uid="{00000000-0005-0000-0000-000073000000}"/>
    <cellStyle name="Comma 3 2" xfId="91" xr:uid="{00000000-0005-0000-0000-000074000000}"/>
    <cellStyle name="Comma 3 2 2" xfId="426" xr:uid="{00000000-0005-0000-0000-000075000000}"/>
    <cellStyle name="Comma 3 3" xfId="92" xr:uid="{00000000-0005-0000-0000-000076000000}"/>
    <cellStyle name="Comma 3 3 2" xfId="93" xr:uid="{00000000-0005-0000-0000-000077000000}"/>
    <cellStyle name="Comma 3 3 2 2" xfId="428" xr:uid="{00000000-0005-0000-0000-000078000000}"/>
    <cellStyle name="Comma 3 3 3" xfId="94" xr:uid="{00000000-0005-0000-0000-000079000000}"/>
    <cellStyle name="Comma 3 3 3 2" xfId="429" xr:uid="{00000000-0005-0000-0000-00007A000000}"/>
    <cellStyle name="Comma 3 3 4" xfId="427" xr:uid="{00000000-0005-0000-0000-00007B000000}"/>
    <cellStyle name="Comma 3 4" xfId="95" xr:uid="{00000000-0005-0000-0000-00007C000000}"/>
    <cellStyle name="Comma 3 4 2" xfId="96" xr:uid="{00000000-0005-0000-0000-00007D000000}"/>
    <cellStyle name="Comma 3 4 2 2" xfId="431" xr:uid="{00000000-0005-0000-0000-00007E000000}"/>
    <cellStyle name="Comma 3 4 3" xfId="97" xr:uid="{00000000-0005-0000-0000-00007F000000}"/>
    <cellStyle name="Comma 3 4 3 2" xfId="432" xr:uid="{00000000-0005-0000-0000-000080000000}"/>
    <cellStyle name="Comma 3 4 4" xfId="430" xr:uid="{00000000-0005-0000-0000-000081000000}"/>
    <cellStyle name="Comma 3 5" xfId="98" xr:uid="{00000000-0005-0000-0000-000082000000}"/>
    <cellStyle name="Comma 3 5 2" xfId="433" xr:uid="{00000000-0005-0000-0000-000083000000}"/>
    <cellStyle name="Comma 3 6" xfId="99" xr:uid="{00000000-0005-0000-0000-000084000000}"/>
    <cellStyle name="Comma 3 6 2" xfId="100" xr:uid="{00000000-0005-0000-0000-000085000000}"/>
    <cellStyle name="Comma 3 6 2 2" xfId="435" xr:uid="{00000000-0005-0000-0000-000086000000}"/>
    <cellStyle name="Comma 3 6 3" xfId="434" xr:uid="{00000000-0005-0000-0000-000087000000}"/>
    <cellStyle name="Comma 3 7" xfId="101" xr:uid="{00000000-0005-0000-0000-000088000000}"/>
    <cellStyle name="Comma 3 7 2" xfId="102" xr:uid="{00000000-0005-0000-0000-000089000000}"/>
    <cellStyle name="Comma 3 7 2 2" xfId="437" xr:uid="{00000000-0005-0000-0000-00008A000000}"/>
    <cellStyle name="Comma 3 7 3" xfId="436" xr:uid="{00000000-0005-0000-0000-00008B000000}"/>
    <cellStyle name="Comma 3 8" xfId="103" xr:uid="{00000000-0005-0000-0000-00008C000000}"/>
    <cellStyle name="Comma 3 8 2" xfId="368" xr:uid="{00000000-0005-0000-0000-00008D000000}"/>
    <cellStyle name="Comma 3 8 2 2" xfId="629" xr:uid="{00000000-0005-0000-0000-00008E000000}"/>
    <cellStyle name="Comma 3 8 3" xfId="438" xr:uid="{00000000-0005-0000-0000-00008F000000}"/>
    <cellStyle name="Comma 3 9" xfId="104" xr:uid="{00000000-0005-0000-0000-000090000000}"/>
    <cellStyle name="Comma 3 9 2" xfId="369" xr:uid="{00000000-0005-0000-0000-000091000000}"/>
    <cellStyle name="Comma 3 9 2 2" xfId="440" xr:uid="{00000000-0005-0000-0000-000092000000}"/>
    <cellStyle name="Comma 3 9 3" xfId="439" xr:uid="{00000000-0005-0000-0000-000093000000}"/>
    <cellStyle name="Comma 4" xfId="105" xr:uid="{00000000-0005-0000-0000-000094000000}"/>
    <cellStyle name="Comma 4 2" xfId="106" xr:uid="{00000000-0005-0000-0000-000095000000}"/>
    <cellStyle name="Comma 4 2 2" xfId="442" xr:uid="{00000000-0005-0000-0000-000096000000}"/>
    <cellStyle name="Comma 4 3" xfId="370" xr:uid="{00000000-0005-0000-0000-000097000000}"/>
    <cellStyle name="Comma 4 3 2" xfId="630" xr:uid="{00000000-0005-0000-0000-000098000000}"/>
    <cellStyle name="Comma 4 4" xfId="441" xr:uid="{00000000-0005-0000-0000-000099000000}"/>
    <cellStyle name="Comma 4 5" xfId="616" xr:uid="{00000000-0005-0000-0000-00009A000000}"/>
    <cellStyle name="Comma 5" xfId="107" xr:uid="{00000000-0005-0000-0000-00009B000000}"/>
    <cellStyle name="Comma 5 2" xfId="108" xr:uid="{00000000-0005-0000-0000-00009C000000}"/>
    <cellStyle name="Comma 5 2 2" xfId="444" xr:uid="{00000000-0005-0000-0000-00009D000000}"/>
    <cellStyle name="Comma 5 3" xfId="443" xr:uid="{00000000-0005-0000-0000-00009E000000}"/>
    <cellStyle name="Comma 6" xfId="109" xr:uid="{00000000-0005-0000-0000-00009F000000}"/>
    <cellStyle name="Comma 6 2" xfId="110" xr:uid="{00000000-0005-0000-0000-0000A0000000}"/>
    <cellStyle name="Comma 6 2 2" xfId="446" xr:uid="{00000000-0005-0000-0000-0000A1000000}"/>
    <cellStyle name="Comma 6 3" xfId="111" xr:uid="{00000000-0005-0000-0000-0000A2000000}"/>
    <cellStyle name="Comma 6 3 2" xfId="372" xr:uid="{00000000-0005-0000-0000-0000A3000000}"/>
    <cellStyle name="Comma 6 3 2 2" xfId="632" xr:uid="{00000000-0005-0000-0000-0000A4000000}"/>
    <cellStyle name="Comma 6 3 3" xfId="447" xr:uid="{00000000-0005-0000-0000-0000A5000000}"/>
    <cellStyle name="Comma 6 3 4" xfId="618" xr:uid="{00000000-0005-0000-0000-0000A6000000}"/>
    <cellStyle name="Comma 6 4" xfId="371" xr:uid="{00000000-0005-0000-0000-0000A7000000}"/>
    <cellStyle name="Comma 6 4 2" xfId="631" xr:uid="{00000000-0005-0000-0000-0000A8000000}"/>
    <cellStyle name="Comma 6 5" xfId="445" xr:uid="{00000000-0005-0000-0000-0000A9000000}"/>
    <cellStyle name="Comma 6 6" xfId="617" xr:uid="{00000000-0005-0000-0000-0000AA000000}"/>
    <cellStyle name="Comma 7" xfId="112" xr:uid="{00000000-0005-0000-0000-0000AB000000}"/>
    <cellStyle name="Comma 7 2" xfId="113" xr:uid="{00000000-0005-0000-0000-0000AC000000}"/>
    <cellStyle name="Comma 7 2 2" xfId="449" xr:uid="{00000000-0005-0000-0000-0000AD000000}"/>
    <cellStyle name="Comma 7 3" xfId="114" xr:uid="{00000000-0005-0000-0000-0000AE000000}"/>
    <cellStyle name="Comma 7 3 2" xfId="450" xr:uid="{00000000-0005-0000-0000-0000AF000000}"/>
    <cellStyle name="Comma 7 4" xfId="451" xr:uid="{00000000-0005-0000-0000-0000B0000000}"/>
    <cellStyle name="Comma 7 5" xfId="448" xr:uid="{00000000-0005-0000-0000-0000B1000000}"/>
    <cellStyle name="Comma 8" xfId="115" xr:uid="{00000000-0005-0000-0000-0000B2000000}"/>
    <cellStyle name="Comma 8 2" xfId="373" xr:uid="{00000000-0005-0000-0000-0000B3000000}"/>
    <cellStyle name="Comma 8 2 2" xfId="633" xr:uid="{00000000-0005-0000-0000-0000B4000000}"/>
    <cellStyle name="Comma 8 3" xfId="452" xr:uid="{00000000-0005-0000-0000-0000B5000000}"/>
    <cellStyle name="Comma 9" xfId="116" xr:uid="{00000000-0005-0000-0000-0000B6000000}"/>
    <cellStyle name="Comma 9 2" xfId="348" xr:uid="{00000000-0005-0000-0000-0000B7000000}"/>
    <cellStyle name="Comma 9 2 2" xfId="414" xr:uid="{00000000-0005-0000-0000-0000B8000000}"/>
    <cellStyle name="Comma 9 2 3" xfId="609" xr:uid="{00000000-0005-0000-0000-0000B9000000}"/>
    <cellStyle name="Comma 9 2 4" xfId="653" xr:uid="{00000000-0005-0000-0000-0000BA000000}"/>
    <cellStyle name="Comma 9 3" xfId="355" xr:uid="{00000000-0005-0000-0000-0000BB000000}"/>
    <cellStyle name="Comma 9 3 2" xfId="614" xr:uid="{00000000-0005-0000-0000-0000BC000000}"/>
    <cellStyle name="Comma 9 4" xfId="374" xr:uid="{00000000-0005-0000-0000-0000BD000000}"/>
    <cellStyle name="Comma 9 5" xfId="453" xr:uid="{00000000-0005-0000-0000-0000BE000000}"/>
    <cellStyle name="Comma_spp calc - revsd rev crd" xfId="117" xr:uid="{00000000-0005-0000-0000-0000BF000000}"/>
    <cellStyle name="Comma0" xfId="118" xr:uid="{00000000-0005-0000-0000-0000C0000000}"/>
    <cellStyle name="Comma0 2" xfId="454" xr:uid="{00000000-0005-0000-0000-0000C1000000}"/>
    <cellStyle name="Currency" xfId="119" builtinId="4"/>
    <cellStyle name="Currency [0] 2" xfId="352" xr:uid="{00000000-0005-0000-0000-0000C3000000}"/>
    <cellStyle name="Currency 10" xfId="375" xr:uid="{00000000-0005-0000-0000-0000C4000000}"/>
    <cellStyle name="Currency 10 2" xfId="612" xr:uid="{00000000-0005-0000-0000-0000C5000000}"/>
    <cellStyle name="Currency 2" xfId="120" xr:uid="{00000000-0005-0000-0000-0000C6000000}"/>
    <cellStyle name="Currency 2 2" xfId="121" xr:uid="{00000000-0005-0000-0000-0000C7000000}"/>
    <cellStyle name="Currency 2 2 2" xfId="456" xr:uid="{00000000-0005-0000-0000-0000C8000000}"/>
    <cellStyle name="Currency 2 3" xfId="455" xr:uid="{00000000-0005-0000-0000-0000C9000000}"/>
    <cellStyle name="Currency 3" xfId="122" xr:uid="{00000000-0005-0000-0000-0000CA000000}"/>
    <cellStyle name="Currency 3 2" xfId="123" xr:uid="{00000000-0005-0000-0000-0000CB000000}"/>
    <cellStyle name="Currency 3 2 2" xfId="457" xr:uid="{00000000-0005-0000-0000-0000CC000000}"/>
    <cellStyle name="Currency 3 3" xfId="124" xr:uid="{00000000-0005-0000-0000-0000CD000000}"/>
    <cellStyle name="Currency 3 3 2" xfId="125" xr:uid="{00000000-0005-0000-0000-0000CE000000}"/>
    <cellStyle name="Currency 3 3 2 2" xfId="459" xr:uid="{00000000-0005-0000-0000-0000CF000000}"/>
    <cellStyle name="Currency 3 3 3" xfId="126" xr:uid="{00000000-0005-0000-0000-0000D0000000}"/>
    <cellStyle name="Currency 3 3 3 2" xfId="460" xr:uid="{00000000-0005-0000-0000-0000D1000000}"/>
    <cellStyle name="Currency 3 3 4" xfId="458" xr:uid="{00000000-0005-0000-0000-0000D2000000}"/>
    <cellStyle name="Currency 3 4" xfId="127" xr:uid="{00000000-0005-0000-0000-0000D3000000}"/>
    <cellStyle name="Currency 3 4 2" xfId="128" xr:uid="{00000000-0005-0000-0000-0000D4000000}"/>
    <cellStyle name="Currency 3 4 2 2" xfId="462" xr:uid="{00000000-0005-0000-0000-0000D5000000}"/>
    <cellStyle name="Currency 3 4 3" xfId="129" xr:uid="{00000000-0005-0000-0000-0000D6000000}"/>
    <cellStyle name="Currency 3 4 3 2" xfId="463" xr:uid="{00000000-0005-0000-0000-0000D7000000}"/>
    <cellStyle name="Currency 3 4 4" xfId="461" xr:uid="{00000000-0005-0000-0000-0000D8000000}"/>
    <cellStyle name="Currency 3 5" xfId="130" xr:uid="{00000000-0005-0000-0000-0000D9000000}"/>
    <cellStyle name="Currency 3 5 2" xfId="464" xr:uid="{00000000-0005-0000-0000-0000DA000000}"/>
    <cellStyle name="Currency 3 6" xfId="131" xr:uid="{00000000-0005-0000-0000-0000DB000000}"/>
    <cellStyle name="Currency 3 6 2" xfId="132" xr:uid="{00000000-0005-0000-0000-0000DC000000}"/>
    <cellStyle name="Currency 3 6 2 2" xfId="466" xr:uid="{00000000-0005-0000-0000-0000DD000000}"/>
    <cellStyle name="Currency 3 6 3" xfId="465" xr:uid="{00000000-0005-0000-0000-0000DE000000}"/>
    <cellStyle name="Currency 3 7" xfId="133" xr:uid="{00000000-0005-0000-0000-0000DF000000}"/>
    <cellStyle name="Currency 3 7 2" xfId="376" xr:uid="{00000000-0005-0000-0000-0000E0000000}"/>
    <cellStyle name="Currency 3 7 2 2" xfId="634" xr:uid="{00000000-0005-0000-0000-0000E1000000}"/>
    <cellStyle name="Currency 3 7 3" xfId="467" xr:uid="{00000000-0005-0000-0000-0000E2000000}"/>
    <cellStyle name="Currency 3 8" xfId="134" xr:uid="{00000000-0005-0000-0000-0000E3000000}"/>
    <cellStyle name="Currency 3 8 2" xfId="377" xr:uid="{00000000-0005-0000-0000-0000E4000000}"/>
    <cellStyle name="Currency 3 8 3" xfId="468" xr:uid="{00000000-0005-0000-0000-0000E5000000}"/>
    <cellStyle name="Currency 3 9" xfId="469" xr:uid="{00000000-0005-0000-0000-0000E6000000}"/>
    <cellStyle name="Currency 4" xfId="135" xr:uid="{00000000-0005-0000-0000-0000E7000000}"/>
    <cellStyle name="Currency 4 2" xfId="136" xr:uid="{00000000-0005-0000-0000-0000E8000000}"/>
    <cellStyle name="Currency 4 2 2" xfId="471" xr:uid="{00000000-0005-0000-0000-0000E9000000}"/>
    <cellStyle name="Currency 4 3" xfId="378" xr:uid="{00000000-0005-0000-0000-0000EA000000}"/>
    <cellStyle name="Currency 4 3 2" xfId="635" xr:uid="{00000000-0005-0000-0000-0000EB000000}"/>
    <cellStyle name="Currency 4 4" xfId="470" xr:uid="{00000000-0005-0000-0000-0000EC000000}"/>
    <cellStyle name="Currency 4 5" xfId="619" xr:uid="{00000000-0005-0000-0000-0000ED000000}"/>
    <cellStyle name="Currency 5" xfId="137" xr:uid="{00000000-0005-0000-0000-0000EE000000}"/>
    <cellStyle name="Currency 5 2" xfId="138" xr:uid="{00000000-0005-0000-0000-0000EF000000}"/>
    <cellStyle name="Currency 5 2 2" xfId="473" xr:uid="{00000000-0005-0000-0000-0000F0000000}"/>
    <cellStyle name="Currency 5 3" xfId="472" xr:uid="{00000000-0005-0000-0000-0000F1000000}"/>
    <cellStyle name="Currency 6" xfId="139" xr:uid="{00000000-0005-0000-0000-0000F2000000}"/>
    <cellStyle name="Currency 6 2" xfId="379" xr:uid="{00000000-0005-0000-0000-0000F3000000}"/>
    <cellStyle name="Currency 6 2 2" xfId="636" xr:uid="{00000000-0005-0000-0000-0000F4000000}"/>
    <cellStyle name="Currency 6 3" xfId="474" xr:uid="{00000000-0005-0000-0000-0000F5000000}"/>
    <cellStyle name="Currency 6 4" xfId="620" xr:uid="{00000000-0005-0000-0000-0000F6000000}"/>
    <cellStyle name="Currency 7" xfId="140" xr:uid="{00000000-0005-0000-0000-0000F7000000}"/>
    <cellStyle name="Currency 7 2" xfId="380" xr:uid="{00000000-0005-0000-0000-0000F8000000}"/>
    <cellStyle name="Currency 7 2 2" xfId="637" xr:uid="{00000000-0005-0000-0000-0000F9000000}"/>
    <cellStyle name="Currency 7 3" xfId="475" xr:uid="{00000000-0005-0000-0000-0000FA000000}"/>
    <cellStyle name="Currency 8" xfId="141" xr:uid="{00000000-0005-0000-0000-0000FB000000}"/>
    <cellStyle name="Currency 8 2" xfId="381" xr:uid="{00000000-0005-0000-0000-0000FC000000}"/>
    <cellStyle name="Currency 8 3" xfId="476" xr:uid="{00000000-0005-0000-0000-0000FD000000}"/>
    <cellStyle name="Currency 9" xfId="351" xr:uid="{00000000-0005-0000-0000-0000FE000000}"/>
    <cellStyle name="Currency 9 2" xfId="477" xr:uid="{00000000-0005-0000-0000-0000FF000000}"/>
    <cellStyle name="Currency0" xfId="142" xr:uid="{00000000-0005-0000-0000-000000010000}"/>
    <cellStyle name="Currency0 2" xfId="478" xr:uid="{00000000-0005-0000-0000-000001010000}"/>
    <cellStyle name="Date" xfId="143" xr:uid="{00000000-0005-0000-0000-000002010000}"/>
    <cellStyle name="Date 2" xfId="479" xr:uid="{00000000-0005-0000-0000-000003010000}"/>
    <cellStyle name="Explanatory Text" xfId="144" builtinId="53" customBuiltin="1"/>
    <cellStyle name="Explanatory Text 2" xfId="145" xr:uid="{00000000-0005-0000-0000-000005010000}"/>
    <cellStyle name="Fixed" xfId="146" xr:uid="{00000000-0005-0000-0000-000006010000}"/>
    <cellStyle name="Fixed 2" xfId="480" xr:uid="{00000000-0005-0000-0000-000007010000}"/>
    <cellStyle name="Good" xfId="147" builtinId="26" customBuiltin="1"/>
    <cellStyle name="Good 2" xfId="148" xr:uid="{00000000-0005-0000-0000-000009010000}"/>
    <cellStyle name="Heading 1" xfId="149" builtinId="16" customBuiltin="1"/>
    <cellStyle name="Heading 1 2" xfId="150" xr:uid="{00000000-0005-0000-0000-00000B010000}"/>
    <cellStyle name="Heading 2" xfId="151" builtinId="17" customBuiltin="1"/>
    <cellStyle name="Heading 2 2" xfId="152" xr:uid="{00000000-0005-0000-0000-00000D010000}"/>
    <cellStyle name="Heading 3" xfId="153" builtinId="18" customBuiltin="1"/>
    <cellStyle name="Heading 3 2" xfId="154" xr:uid="{00000000-0005-0000-0000-00000F010000}"/>
    <cellStyle name="Heading 4" xfId="155" builtinId="19" customBuiltin="1"/>
    <cellStyle name="Heading 4 2" xfId="156" xr:uid="{00000000-0005-0000-0000-000011010000}"/>
    <cellStyle name="Heading1" xfId="157" xr:uid="{00000000-0005-0000-0000-000012010000}"/>
    <cellStyle name="Heading2" xfId="158" xr:uid="{00000000-0005-0000-0000-000013010000}"/>
    <cellStyle name="Input" xfId="159" builtinId="20" customBuiltin="1"/>
    <cellStyle name="Input 2" xfId="160" xr:uid="{00000000-0005-0000-0000-000015010000}"/>
    <cellStyle name="Input 2 2" xfId="385" xr:uid="{00000000-0005-0000-0000-000016010000}"/>
    <cellStyle name="Input 2 3" xfId="386" xr:uid="{00000000-0005-0000-0000-000017010000}"/>
    <cellStyle name="Input 2 4" xfId="383" xr:uid="{00000000-0005-0000-0000-000018010000}"/>
    <cellStyle name="Input 3" xfId="384" xr:uid="{00000000-0005-0000-0000-000019010000}"/>
    <cellStyle name="Input 4" xfId="387" xr:uid="{00000000-0005-0000-0000-00001A010000}"/>
    <cellStyle name="Input 5" xfId="382" xr:uid="{00000000-0005-0000-0000-00001B010000}"/>
    <cellStyle name="Linked Cell" xfId="161" builtinId="24" customBuiltin="1"/>
    <cellStyle name="Linked Cell 2" xfId="162" xr:uid="{00000000-0005-0000-0000-00001D010000}"/>
    <cellStyle name="Neutral" xfId="163" builtinId="28" customBuiltin="1"/>
    <cellStyle name="Neutral 2" xfId="164" xr:uid="{00000000-0005-0000-0000-00001F010000}"/>
    <cellStyle name="Normal" xfId="0" builtinId="0"/>
    <cellStyle name="Normal 10" xfId="165" xr:uid="{00000000-0005-0000-0000-000021010000}"/>
    <cellStyle name="Normal 10 2" xfId="166" xr:uid="{00000000-0005-0000-0000-000022010000}"/>
    <cellStyle name="Normal 10 2 2" xfId="482" xr:uid="{00000000-0005-0000-0000-000023010000}"/>
    <cellStyle name="Normal 10 3" xfId="167" xr:uid="{00000000-0005-0000-0000-000024010000}"/>
    <cellStyle name="Normal 10 3 2" xfId="483" xr:uid="{00000000-0005-0000-0000-000025010000}"/>
    <cellStyle name="Normal 10 4" xfId="481" xr:uid="{00000000-0005-0000-0000-000026010000}"/>
    <cellStyle name="Normal 11" xfId="168" xr:uid="{00000000-0005-0000-0000-000027010000}"/>
    <cellStyle name="Normal 11 2" xfId="169" xr:uid="{00000000-0005-0000-0000-000028010000}"/>
    <cellStyle name="Normal 11 2 2" xfId="411" xr:uid="{00000000-0005-0000-0000-000029010000}"/>
    <cellStyle name="Normal 11 2 2 2" xfId="638" xr:uid="{00000000-0005-0000-0000-00002A010000}"/>
    <cellStyle name="Normal 11 2 3" xfId="485" xr:uid="{00000000-0005-0000-0000-00002B010000}"/>
    <cellStyle name="Normal 11 3" xfId="170" xr:uid="{00000000-0005-0000-0000-00002C010000}"/>
    <cellStyle name="Normal 11 3 2" xfId="486" xr:uid="{00000000-0005-0000-0000-00002D010000}"/>
    <cellStyle name="Normal 11 4" xfId="484" xr:uid="{00000000-0005-0000-0000-00002E010000}"/>
    <cellStyle name="Normal 12" xfId="171" xr:uid="{00000000-0005-0000-0000-00002F010000}"/>
    <cellStyle name="Normal 12 2" xfId="172" xr:uid="{00000000-0005-0000-0000-000030010000}"/>
    <cellStyle name="Normal 12 2 2" xfId="488" xr:uid="{00000000-0005-0000-0000-000031010000}"/>
    <cellStyle name="Normal 12 3" xfId="487" xr:uid="{00000000-0005-0000-0000-000032010000}"/>
    <cellStyle name="Normal 12 4" xfId="173" xr:uid="{00000000-0005-0000-0000-000033010000}"/>
    <cellStyle name="Normal 12 4 2" xfId="388" xr:uid="{00000000-0005-0000-0000-000034010000}"/>
    <cellStyle name="Normal 12 4 2 2" xfId="639" xr:uid="{00000000-0005-0000-0000-000035010000}"/>
    <cellStyle name="Normal 12 4 3" xfId="489" xr:uid="{00000000-0005-0000-0000-000036010000}"/>
    <cellStyle name="Normal 12 4 4" xfId="621" xr:uid="{00000000-0005-0000-0000-000037010000}"/>
    <cellStyle name="Normal 13" xfId="174" xr:uid="{00000000-0005-0000-0000-000038010000}"/>
    <cellStyle name="Normal 13 2" xfId="175" xr:uid="{00000000-0005-0000-0000-000039010000}"/>
    <cellStyle name="Normal 13 2 2" xfId="491" xr:uid="{00000000-0005-0000-0000-00003A010000}"/>
    <cellStyle name="Normal 13 3" xfId="490" xr:uid="{00000000-0005-0000-0000-00003B010000}"/>
    <cellStyle name="Normal 14" xfId="176" xr:uid="{00000000-0005-0000-0000-00003C010000}"/>
    <cellStyle name="Normal 14 2" xfId="177" xr:uid="{00000000-0005-0000-0000-00003D010000}"/>
    <cellStyle name="Normal 14 2 2" xfId="493" xr:uid="{00000000-0005-0000-0000-00003E010000}"/>
    <cellStyle name="Normal 14 3" xfId="492" xr:uid="{00000000-0005-0000-0000-00003F010000}"/>
    <cellStyle name="Normal 15" xfId="178" xr:uid="{00000000-0005-0000-0000-000040010000}"/>
    <cellStyle name="Normal 15 2" xfId="494" xr:uid="{00000000-0005-0000-0000-000041010000}"/>
    <cellStyle name="Normal 16" xfId="179" xr:uid="{00000000-0005-0000-0000-000042010000}"/>
    <cellStyle name="Normal 16 2" xfId="180" xr:uid="{00000000-0005-0000-0000-000043010000}"/>
    <cellStyle name="Normal 16 2 2" xfId="496" xr:uid="{00000000-0005-0000-0000-000044010000}"/>
    <cellStyle name="Normal 16 3" xfId="495" xr:uid="{00000000-0005-0000-0000-000045010000}"/>
    <cellStyle name="Normal 17" xfId="181" xr:uid="{00000000-0005-0000-0000-000046010000}"/>
    <cellStyle name="Normal 17 2" xfId="182" xr:uid="{00000000-0005-0000-0000-000047010000}"/>
    <cellStyle name="Normal 17 2 2" xfId="498" xr:uid="{00000000-0005-0000-0000-000048010000}"/>
    <cellStyle name="Normal 17 3" xfId="497" xr:uid="{00000000-0005-0000-0000-000049010000}"/>
    <cellStyle name="Normal 18" xfId="183" xr:uid="{00000000-0005-0000-0000-00004A010000}"/>
    <cellStyle name="Normal 18 2" xfId="184" xr:uid="{00000000-0005-0000-0000-00004B010000}"/>
    <cellStyle name="Normal 18 2 2" xfId="500" xr:uid="{00000000-0005-0000-0000-00004C010000}"/>
    <cellStyle name="Normal 18 3" xfId="499" xr:uid="{00000000-0005-0000-0000-00004D010000}"/>
    <cellStyle name="Normal 19" xfId="185" xr:uid="{00000000-0005-0000-0000-00004E010000}"/>
    <cellStyle name="Normal 19 2" xfId="186" xr:uid="{00000000-0005-0000-0000-00004F010000}"/>
    <cellStyle name="Normal 19 2 2" xfId="502" xr:uid="{00000000-0005-0000-0000-000050010000}"/>
    <cellStyle name="Normal 19 3" xfId="501" xr:uid="{00000000-0005-0000-0000-000051010000}"/>
    <cellStyle name="Normal 2" xfId="187" xr:uid="{00000000-0005-0000-0000-000052010000}"/>
    <cellStyle name="Normal 2 2" xfId="188" xr:uid="{00000000-0005-0000-0000-000053010000}"/>
    <cellStyle name="Normal 2 2 2" xfId="189" xr:uid="{00000000-0005-0000-0000-000054010000}"/>
    <cellStyle name="Normal 2 2 3" xfId="190" xr:uid="{00000000-0005-0000-0000-000055010000}"/>
    <cellStyle name="Normal 2 2 3 2" xfId="505" xr:uid="{00000000-0005-0000-0000-000056010000}"/>
    <cellStyle name="Normal 2 2 4" xfId="191" xr:uid="{00000000-0005-0000-0000-000057010000}"/>
    <cellStyle name="Normal 2 2 4 2" xfId="506" xr:uid="{00000000-0005-0000-0000-000058010000}"/>
    <cellStyle name="Normal 2 2 5" xfId="504" xr:uid="{00000000-0005-0000-0000-000059010000}"/>
    <cellStyle name="Normal 2 3" xfId="192" xr:uid="{00000000-0005-0000-0000-00005A010000}"/>
    <cellStyle name="Normal 2 4" xfId="507" xr:uid="{00000000-0005-0000-0000-00005B010000}"/>
    <cellStyle name="Normal 2 5" xfId="193" xr:uid="{00000000-0005-0000-0000-00005C010000}"/>
    <cellStyle name="Normal 2 5 2" xfId="194" xr:uid="{00000000-0005-0000-0000-00005D010000}"/>
    <cellStyle name="Normal 2 5 2 2" xfId="509" xr:uid="{00000000-0005-0000-0000-00005E010000}"/>
    <cellStyle name="Normal 2 5 3" xfId="508" xr:uid="{00000000-0005-0000-0000-00005F010000}"/>
    <cellStyle name="Normal 2 6" xfId="503" xr:uid="{00000000-0005-0000-0000-000060010000}"/>
    <cellStyle name="Normal 20" xfId="195" xr:uid="{00000000-0005-0000-0000-000061010000}"/>
    <cellStyle name="Normal 20 2" xfId="196" xr:uid="{00000000-0005-0000-0000-000062010000}"/>
    <cellStyle name="Normal 20 2 2" xfId="511" xr:uid="{00000000-0005-0000-0000-000063010000}"/>
    <cellStyle name="Normal 20 3" xfId="510" xr:uid="{00000000-0005-0000-0000-000064010000}"/>
    <cellStyle name="Normal 21" xfId="197" xr:uid="{00000000-0005-0000-0000-000065010000}"/>
    <cellStyle name="Normal 21 2" xfId="198" xr:uid="{00000000-0005-0000-0000-000066010000}"/>
    <cellStyle name="Normal 21 2 2" xfId="513" xr:uid="{00000000-0005-0000-0000-000067010000}"/>
    <cellStyle name="Normal 21 3" xfId="512" xr:uid="{00000000-0005-0000-0000-000068010000}"/>
    <cellStyle name="Normal 22" xfId="199" xr:uid="{00000000-0005-0000-0000-000069010000}"/>
    <cellStyle name="Normal 22 2" xfId="200" xr:uid="{00000000-0005-0000-0000-00006A010000}"/>
    <cellStyle name="Normal 22 2 2" xfId="515" xr:uid="{00000000-0005-0000-0000-00006B010000}"/>
    <cellStyle name="Normal 22 3" xfId="514" xr:uid="{00000000-0005-0000-0000-00006C010000}"/>
    <cellStyle name="Normal 23" xfId="201" xr:uid="{00000000-0005-0000-0000-00006D010000}"/>
    <cellStyle name="Normal 23 2" xfId="202" xr:uid="{00000000-0005-0000-0000-00006E010000}"/>
    <cellStyle name="Normal 23 2 2" xfId="517" xr:uid="{00000000-0005-0000-0000-00006F010000}"/>
    <cellStyle name="Normal 23 3" xfId="516" xr:uid="{00000000-0005-0000-0000-000070010000}"/>
    <cellStyle name="Normal 24" xfId="203" xr:uid="{00000000-0005-0000-0000-000071010000}"/>
    <cellStyle name="Normal 24 2" xfId="204" xr:uid="{00000000-0005-0000-0000-000072010000}"/>
    <cellStyle name="Normal 24 2 2" xfId="519" xr:uid="{00000000-0005-0000-0000-000073010000}"/>
    <cellStyle name="Normal 24 3" xfId="518" xr:uid="{00000000-0005-0000-0000-000074010000}"/>
    <cellStyle name="Normal 25" xfId="205" xr:uid="{00000000-0005-0000-0000-000075010000}"/>
    <cellStyle name="Normal 25 2" xfId="206" xr:uid="{00000000-0005-0000-0000-000076010000}"/>
    <cellStyle name="Normal 25 2 2" xfId="521" xr:uid="{00000000-0005-0000-0000-000077010000}"/>
    <cellStyle name="Normal 25 3" xfId="520" xr:uid="{00000000-0005-0000-0000-000078010000}"/>
    <cellStyle name="Normal 26" xfId="207" xr:uid="{00000000-0005-0000-0000-000079010000}"/>
    <cellStyle name="Normal 26 2" xfId="208" xr:uid="{00000000-0005-0000-0000-00007A010000}"/>
    <cellStyle name="Normal 26 2 2" xfId="523" xr:uid="{00000000-0005-0000-0000-00007B010000}"/>
    <cellStyle name="Normal 26 3" xfId="522" xr:uid="{00000000-0005-0000-0000-00007C010000}"/>
    <cellStyle name="Normal 27" xfId="209" xr:uid="{00000000-0005-0000-0000-00007D010000}"/>
    <cellStyle name="Normal 27 2" xfId="524" xr:uid="{00000000-0005-0000-0000-00007E010000}"/>
    <cellStyle name="Normal 28" xfId="210" xr:uid="{00000000-0005-0000-0000-00007F010000}"/>
    <cellStyle name="Normal 28 2" xfId="211" xr:uid="{00000000-0005-0000-0000-000080010000}"/>
    <cellStyle name="Normal 28 2 2" xfId="526" xr:uid="{00000000-0005-0000-0000-000081010000}"/>
    <cellStyle name="Normal 28 3" xfId="525" xr:uid="{00000000-0005-0000-0000-000082010000}"/>
    <cellStyle name="Normal 29" xfId="212" xr:uid="{00000000-0005-0000-0000-000083010000}"/>
    <cellStyle name="Normal 29 2" xfId="213" xr:uid="{00000000-0005-0000-0000-000084010000}"/>
    <cellStyle name="Normal 29 2 2" xfId="528" xr:uid="{00000000-0005-0000-0000-000085010000}"/>
    <cellStyle name="Normal 29 3" xfId="527" xr:uid="{00000000-0005-0000-0000-000086010000}"/>
    <cellStyle name="Normal 3" xfId="214" xr:uid="{00000000-0005-0000-0000-000087010000}"/>
    <cellStyle name="Normal 3 2" xfId="215" xr:uid="{00000000-0005-0000-0000-000088010000}"/>
    <cellStyle name="Normal 3 2 2" xfId="530" xr:uid="{00000000-0005-0000-0000-000089010000}"/>
    <cellStyle name="Normal 3 3" xfId="216" xr:uid="{00000000-0005-0000-0000-00008A010000}"/>
    <cellStyle name="Normal 3 3 2" xfId="531" xr:uid="{00000000-0005-0000-0000-00008B010000}"/>
    <cellStyle name="Normal 3 4" xfId="529" xr:uid="{00000000-0005-0000-0000-00008C010000}"/>
    <cellStyle name="Normal 3_Attach O, GG, Support -New Method 2-14-11" xfId="217" xr:uid="{00000000-0005-0000-0000-00008D010000}"/>
    <cellStyle name="Normal 30" xfId="347" xr:uid="{00000000-0005-0000-0000-00008E010000}"/>
    <cellStyle name="Normal 30 2" xfId="532" xr:uid="{00000000-0005-0000-0000-00008F010000}"/>
    <cellStyle name="Normal 30 3" xfId="650" xr:uid="{00000000-0005-0000-0000-000090010000}"/>
    <cellStyle name="Normal 31" xfId="354" xr:uid="{00000000-0005-0000-0000-000091010000}"/>
    <cellStyle name="Normal 31 2" xfId="345" xr:uid="{00000000-0005-0000-0000-000092010000}"/>
    <cellStyle name="Normal 31 2 2" xfId="410" xr:uid="{00000000-0005-0000-0000-000093010000}"/>
    <cellStyle name="Normal 31 2 2 2" xfId="656" xr:uid="{00000000-0005-0000-0000-000094010000}"/>
    <cellStyle name="Normal 31 2 3" xfId="613" xr:uid="{00000000-0005-0000-0000-000095010000}"/>
    <cellStyle name="Normal 31 2 4" xfId="651" xr:uid="{00000000-0005-0000-0000-000096010000}"/>
    <cellStyle name="Normal 31 2 5" xfId="655" xr:uid="{00000000-0005-0000-0000-000097010000}"/>
    <cellStyle name="Normal 31 3" xfId="607" xr:uid="{00000000-0005-0000-0000-000098010000}"/>
    <cellStyle name="Normal 31 4" xfId="652" xr:uid="{00000000-0005-0000-0000-000099010000}"/>
    <cellStyle name="Normal 32" xfId="350" xr:uid="{00000000-0005-0000-0000-00009A010000}"/>
    <cellStyle name="Normal 33" xfId="611" xr:uid="{00000000-0005-0000-0000-00009B010000}"/>
    <cellStyle name="Normal 34" xfId="416" xr:uid="{00000000-0005-0000-0000-00009C010000}"/>
    <cellStyle name="Normal 4" xfId="218" xr:uid="{00000000-0005-0000-0000-00009D010000}"/>
    <cellStyle name="Normal 4 10" xfId="533" xr:uid="{00000000-0005-0000-0000-00009E010000}"/>
    <cellStyle name="Normal 4 2" xfId="219" xr:uid="{00000000-0005-0000-0000-00009F010000}"/>
    <cellStyle name="Normal 4 2 2" xfId="534" xr:uid="{00000000-0005-0000-0000-0000A0010000}"/>
    <cellStyle name="Normal 4 3" xfId="220" xr:uid="{00000000-0005-0000-0000-0000A1010000}"/>
    <cellStyle name="Normal 4 3 2" xfId="221" xr:uid="{00000000-0005-0000-0000-0000A2010000}"/>
    <cellStyle name="Normal 4 3 2 2" xfId="536" xr:uid="{00000000-0005-0000-0000-0000A3010000}"/>
    <cellStyle name="Normal 4 3 3" xfId="222" xr:uid="{00000000-0005-0000-0000-0000A4010000}"/>
    <cellStyle name="Normal 4 3 3 2" xfId="537" xr:uid="{00000000-0005-0000-0000-0000A5010000}"/>
    <cellStyle name="Normal 4 3 4" xfId="535" xr:uid="{00000000-0005-0000-0000-0000A6010000}"/>
    <cellStyle name="Normal 4 4" xfId="223" xr:uid="{00000000-0005-0000-0000-0000A7010000}"/>
    <cellStyle name="Normal 4 4 2" xfId="224" xr:uid="{00000000-0005-0000-0000-0000A8010000}"/>
    <cellStyle name="Normal 4 4 2 2" xfId="539" xr:uid="{00000000-0005-0000-0000-0000A9010000}"/>
    <cellStyle name="Normal 4 4 3" xfId="225" xr:uid="{00000000-0005-0000-0000-0000AA010000}"/>
    <cellStyle name="Normal 4 4 3 2" xfId="540" xr:uid="{00000000-0005-0000-0000-0000AB010000}"/>
    <cellStyle name="Normal 4 4 4" xfId="538" xr:uid="{00000000-0005-0000-0000-0000AC010000}"/>
    <cellStyle name="Normal 4 5" xfId="226" xr:uid="{00000000-0005-0000-0000-0000AD010000}"/>
    <cellStyle name="Normal 4 5 2" xfId="541" xr:uid="{00000000-0005-0000-0000-0000AE010000}"/>
    <cellStyle name="Normal 4 6" xfId="227" xr:uid="{00000000-0005-0000-0000-0000AF010000}"/>
    <cellStyle name="Normal 4 6 2" xfId="228" xr:uid="{00000000-0005-0000-0000-0000B0010000}"/>
    <cellStyle name="Normal 4 6 2 2" xfId="543" xr:uid="{00000000-0005-0000-0000-0000B1010000}"/>
    <cellStyle name="Normal 4 6 3" xfId="542" xr:uid="{00000000-0005-0000-0000-0000B2010000}"/>
    <cellStyle name="Normal 4 7" xfId="229" xr:uid="{00000000-0005-0000-0000-0000B3010000}"/>
    <cellStyle name="Normal 4 7 2" xfId="230" xr:uid="{00000000-0005-0000-0000-0000B4010000}"/>
    <cellStyle name="Normal 4 7 2 2" xfId="545" xr:uid="{00000000-0005-0000-0000-0000B5010000}"/>
    <cellStyle name="Normal 4 7 3" xfId="544" xr:uid="{00000000-0005-0000-0000-0000B6010000}"/>
    <cellStyle name="Normal 4 8" xfId="231" xr:uid="{00000000-0005-0000-0000-0000B7010000}"/>
    <cellStyle name="Normal 4 8 2" xfId="389" xr:uid="{00000000-0005-0000-0000-0000B8010000}"/>
    <cellStyle name="Normal 4 8 2 2" xfId="640" xr:uid="{00000000-0005-0000-0000-0000B9010000}"/>
    <cellStyle name="Normal 4 8 3" xfId="546" xr:uid="{00000000-0005-0000-0000-0000BA010000}"/>
    <cellStyle name="Normal 4 9" xfId="232" xr:uid="{00000000-0005-0000-0000-0000BB010000}"/>
    <cellStyle name="Normal 4 9 2" xfId="390" xr:uid="{00000000-0005-0000-0000-0000BC010000}"/>
    <cellStyle name="Normal 4 9 3" xfId="547" xr:uid="{00000000-0005-0000-0000-0000BD010000}"/>
    <cellStyle name="Normal 4_PBOP Exhibit 1" xfId="233" xr:uid="{00000000-0005-0000-0000-0000BE010000}"/>
    <cellStyle name="Normal 5" xfId="234" xr:uid="{00000000-0005-0000-0000-0000BF010000}"/>
    <cellStyle name="Normal 5 2" xfId="235" xr:uid="{00000000-0005-0000-0000-0000C0010000}"/>
    <cellStyle name="Normal 5 2 2" xfId="236" xr:uid="{00000000-0005-0000-0000-0000C1010000}"/>
    <cellStyle name="Normal 5 2 2 2" xfId="550" xr:uid="{00000000-0005-0000-0000-0000C2010000}"/>
    <cellStyle name="Normal 5 2 3" xfId="549" xr:uid="{00000000-0005-0000-0000-0000C3010000}"/>
    <cellStyle name="Normal 5 3" xfId="237" xr:uid="{00000000-0005-0000-0000-0000C4010000}"/>
    <cellStyle name="Normal 5 3 2" xfId="551" xr:uid="{00000000-0005-0000-0000-0000C5010000}"/>
    <cellStyle name="Normal 5 4" xfId="238" xr:uid="{00000000-0005-0000-0000-0000C6010000}"/>
    <cellStyle name="Normal 5 4 2" xfId="552" xr:uid="{00000000-0005-0000-0000-0000C7010000}"/>
    <cellStyle name="Normal 5 5" xfId="548" xr:uid="{00000000-0005-0000-0000-0000C8010000}"/>
    <cellStyle name="Normal 6" xfId="239" xr:uid="{00000000-0005-0000-0000-0000C9010000}"/>
    <cellStyle name="Normal 6 2" xfId="240" xr:uid="{00000000-0005-0000-0000-0000CA010000}"/>
    <cellStyle name="Normal 6 2 2" xfId="241" xr:uid="{00000000-0005-0000-0000-0000CB010000}"/>
    <cellStyle name="Normal 6 2 2 2" xfId="555" xr:uid="{00000000-0005-0000-0000-0000CC010000}"/>
    <cellStyle name="Normal 6 2 3" xfId="242" xr:uid="{00000000-0005-0000-0000-0000CD010000}"/>
    <cellStyle name="Normal 6 2 3 2" xfId="556" xr:uid="{00000000-0005-0000-0000-0000CE010000}"/>
    <cellStyle name="Normal 6 2 4" xfId="554" xr:uid="{00000000-0005-0000-0000-0000CF010000}"/>
    <cellStyle name="Normal 6 3" xfId="243" xr:uid="{00000000-0005-0000-0000-0000D0010000}"/>
    <cellStyle name="Normal 6 3 2" xfId="244" xr:uid="{00000000-0005-0000-0000-0000D1010000}"/>
    <cellStyle name="Normal 6 3 2 2" xfId="558" xr:uid="{00000000-0005-0000-0000-0000D2010000}"/>
    <cellStyle name="Normal 6 3 3" xfId="557" xr:uid="{00000000-0005-0000-0000-0000D3010000}"/>
    <cellStyle name="Normal 6 4" xfId="245" xr:uid="{00000000-0005-0000-0000-0000D4010000}"/>
    <cellStyle name="Normal 6 4 2" xfId="246" xr:uid="{00000000-0005-0000-0000-0000D5010000}"/>
    <cellStyle name="Normal 6 4 2 2" xfId="560" xr:uid="{00000000-0005-0000-0000-0000D6010000}"/>
    <cellStyle name="Normal 6 4 3" xfId="559" xr:uid="{00000000-0005-0000-0000-0000D7010000}"/>
    <cellStyle name="Normal 6 5" xfId="391" xr:uid="{00000000-0005-0000-0000-0000D8010000}"/>
    <cellStyle name="Normal 6 5 2" xfId="641" xr:uid="{00000000-0005-0000-0000-0000D9010000}"/>
    <cellStyle name="Normal 6 6" xfId="553" xr:uid="{00000000-0005-0000-0000-0000DA010000}"/>
    <cellStyle name="Normal 6 7" xfId="622" xr:uid="{00000000-0005-0000-0000-0000DB010000}"/>
    <cellStyle name="Normal 7" xfId="247" xr:uid="{00000000-0005-0000-0000-0000DC010000}"/>
    <cellStyle name="Normal 7 2" xfId="248" xr:uid="{00000000-0005-0000-0000-0000DD010000}"/>
    <cellStyle name="Normal 7 2 2" xfId="562" xr:uid="{00000000-0005-0000-0000-0000DE010000}"/>
    <cellStyle name="Normal 7 3" xfId="393" xr:uid="{00000000-0005-0000-0000-0000DF010000}"/>
    <cellStyle name="Normal 7 3 2" xfId="642" xr:uid="{00000000-0005-0000-0000-0000E0010000}"/>
    <cellStyle name="Normal 7 4" xfId="561" xr:uid="{00000000-0005-0000-0000-0000E1010000}"/>
    <cellStyle name="Normal 7 5" xfId="623" xr:uid="{00000000-0005-0000-0000-0000E2010000}"/>
    <cellStyle name="Normal 8" xfId="249" xr:uid="{00000000-0005-0000-0000-0000E3010000}"/>
    <cellStyle name="Normal 8 2" xfId="250" xr:uid="{00000000-0005-0000-0000-0000E4010000}"/>
    <cellStyle name="Normal 8 2 2" xfId="564" xr:uid="{00000000-0005-0000-0000-0000E5010000}"/>
    <cellStyle name="Normal 8 3" xfId="395" xr:uid="{00000000-0005-0000-0000-0000E6010000}"/>
    <cellStyle name="Normal 8 3 2" xfId="643" xr:uid="{00000000-0005-0000-0000-0000E7010000}"/>
    <cellStyle name="Normal 8 4" xfId="563" xr:uid="{00000000-0005-0000-0000-0000E8010000}"/>
    <cellStyle name="Normal 8 5" xfId="624" xr:uid="{00000000-0005-0000-0000-0000E9010000}"/>
    <cellStyle name="Normal 9" xfId="251" xr:uid="{00000000-0005-0000-0000-0000EA010000}"/>
    <cellStyle name="Normal 9 2" xfId="252" xr:uid="{00000000-0005-0000-0000-0000EB010000}"/>
    <cellStyle name="Normal 9 2 2" xfId="566" xr:uid="{00000000-0005-0000-0000-0000EC010000}"/>
    <cellStyle name="Normal 9 3" xfId="396" xr:uid="{00000000-0005-0000-0000-0000ED010000}"/>
    <cellStyle name="Normal 9 3 2" xfId="644" xr:uid="{00000000-0005-0000-0000-0000EE010000}"/>
    <cellStyle name="Normal 9 4" xfId="565" xr:uid="{00000000-0005-0000-0000-0000EF010000}"/>
    <cellStyle name="Normal 9 5" xfId="625" xr:uid="{00000000-0005-0000-0000-0000F0010000}"/>
    <cellStyle name="Normal_21 Exh B" xfId="253" xr:uid="{00000000-0005-0000-0000-0000F1010000}"/>
    <cellStyle name="Normal_ADITAnalysisID090805" xfId="254" xr:uid="{00000000-0005-0000-0000-0000F2010000}"/>
    <cellStyle name="Normal_ADITAnalysisID090805 2" xfId="255" xr:uid="{00000000-0005-0000-0000-0000F3010000}"/>
    <cellStyle name="Normal_ADITAnalysisID090805 2 2" xfId="256" xr:uid="{00000000-0005-0000-0000-0000F4010000}"/>
    <cellStyle name="Normal_ADITAnalysisID090805 2 2 2" xfId="257" xr:uid="{00000000-0005-0000-0000-0000F5010000}"/>
    <cellStyle name="Normal_ADITAnalysisID090805 2 2 3" xfId="657" xr:uid="{00000000-0005-0000-0000-0000F6010000}"/>
    <cellStyle name="Normal_ADITAnalysisID090805 3" xfId="258" xr:uid="{00000000-0005-0000-0000-0000F7010000}"/>
    <cellStyle name="Normal_ADITAnalysisID090805 4 2 2" xfId="606" xr:uid="{00000000-0005-0000-0000-0000F8010000}"/>
    <cellStyle name="Normal_ADITAnalysisID090805 5" xfId="259" xr:uid="{00000000-0005-0000-0000-0000F9010000}"/>
    <cellStyle name="Normal_ATC Projected 2008 Monthly Plant Balances for Attachment O 2 (2)" xfId="260" xr:uid="{00000000-0005-0000-0000-0000FA010000}"/>
    <cellStyle name="Normal_AU Period 2 Rev 4-27-00" xfId="261" xr:uid="{00000000-0005-0000-0000-0000FB010000}"/>
    <cellStyle name="Normal_AU Period 2 Rev 4-27-00 2" xfId="262" xr:uid="{00000000-0005-0000-0000-0000FC010000}"/>
    <cellStyle name="Normal_DeprRateAuth East Dave Davis" xfId="263" xr:uid="{00000000-0005-0000-0000-0000FD010000}"/>
    <cellStyle name="Normal_DeprRateAuth East Dave Davis 2 2" xfId="654" xr:uid="{00000000-0005-0000-0000-0000FE010000}"/>
    <cellStyle name="Normal_FN1 Ratebase Draft SPP template (6-11-04) v2" xfId="264" xr:uid="{00000000-0005-0000-0000-0000FF010000}"/>
    <cellStyle name="Normal_I&amp;M-AK-1" xfId="265" xr:uid="{00000000-0005-0000-0000-000000020000}"/>
    <cellStyle name="Normal_Revised 1-21-10  Deprec Summary" xfId="266" xr:uid="{00000000-0005-0000-0000-000001020000}"/>
    <cellStyle name="Normal_Schedule O Info for Mike" xfId="267" xr:uid="{00000000-0005-0000-0000-000002020000}"/>
    <cellStyle name="Normal_spp calc - revsd rev crd" xfId="268" xr:uid="{00000000-0005-0000-0000-000003020000}"/>
    <cellStyle name="Note" xfId="269" builtinId="10" customBuiltin="1"/>
    <cellStyle name="Note 2" xfId="270" xr:uid="{00000000-0005-0000-0000-000005020000}"/>
    <cellStyle name="Note 2 2" xfId="398" xr:uid="{00000000-0005-0000-0000-000006020000}"/>
    <cellStyle name="Note 2 3" xfId="359" xr:uid="{00000000-0005-0000-0000-000007020000}"/>
    <cellStyle name="Note 2 4" xfId="399" xr:uid="{00000000-0005-0000-0000-000008020000}"/>
    <cellStyle name="Note 3" xfId="397" xr:uid="{00000000-0005-0000-0000-000009020000}"/>
    <cellStyle name="Note 4" xfId="360" xr:uid="{00000000-0005-0000-0000-00000A020000}"/>
    <cellStyle name="Note 5" xfId="412" xr:uid="{00000000-0005-0000-0000-00000B020000}"/>
    <cellStyle name="Output" xfId="271" builtinId="21" customBuiltin="1"/>
    <cellStyle name="Output 2" xfId="272" xr:uid="{00000000-0005-0000-0000-00000D020000}"/>
    <cellStyle name="Output 2 2" xfId="357" xr:uid="{00000000-0005-0000-0000-00000E020000}"/>
    <cellStyle name="Output 2 3" xfId="401" xr:uid="{00000000-0005-0000-0000-00000F020000}"/>
    <cellStyle name="Output 3" xfId="358" xr:uid="{00000000-0005-0000-0000-000010020000}"/>
    <cellStyle name="Output 4" xfId="400" xr:uid="{00000000-0005-0000-0000-000011020000}"/>
    <cellStyle name="Percent" xfId="273" builtinId="5"/>
    <cellStyle name="Percent 10" xfId="346" xr:uid="{00000000-0005-0000-0000-000013020000}"/>
    <cellStyle name="Percent 10 2" xfId="567" xr:uid="{00000000-0005-0000-0000-000014020000}"/>
    <cellStyle name="Percent 11" xfId="608" xr:uid="{00000000-0005-0000-0000-000015020000}"/>
    <cellStyle name="Percent 2" xfId="274" xr:uid="{00000000-0005-0000-0000-000016020000}"/>
    <cellStyle name="Percent 2 2" xfId="275" xr:uid="{00000000-0005-0000-0000-000017020000}"/>
    <cellStyle name="Percent 2 2 2" xfId="413" xr:uid="{00000000-0005-0000-0000-000018020000}"/>
    <cellStyle name="Percent 2 2 2 2" xfId="645" xr:uid="{00000000-0005-0000-0000-000019020000}"/>
    <cellStyle name="Percent 2 2 3" xfId="569" xr:uid="{00000000-0005-0000-0000-00001A020000}"/>
    <cellStyle name="Percent 2 3" xfId="568" xr:uid="{00000000-0005-0000-0000-00001B020000}"/>
    <cellStyle name="Percent 3" xfId="276" xr:uid="{00000000-0005-0000-0000-00001C020000}"/>
    <cellStyle name="Percent 3 2" xfId="277" xr:uid="{00000000-0005-0000-0000-00001D020000}"/>
    <cellStyle name="Percent 3 2 2" xfId="570" xr:uid="{00000000-0005-0000-0000-00001E020000}"/>
    <cellStyle name="Percent 3 3" xfId="278" xr:uid="{00000000-0005-0000-0000-00001F020000}"/>
    <cellStyle name="Percent 3 3 2" xfId="279" xr:uid="{00000000-0005-0000-0000-000020020000}"/>
    <cellStyle name="Percent 3 3 2 2" xfId="572" xr:uid="{00000000-0005-0000-0000-000021020000}"/>
    <cellStyle name="Percent 3 3 3" xfId="280" xr:uid="{00000000-0005-0000-0000-000022020000}"/>
    <cellStyle name="Percent 3 3 3 2" xfId="573" xr:uid="{00000000-0005-0000-0000-000023020000}"/>
    <cellStyle name="Percent 3 3 4" xfId="571" xr:uid="{00000000-0005-0000-0000-000024020000}"/>
    <cellStyle name="Percent 3 4" xfId="281" xr:uid="{00000000-0005-0000-0000-000025020000}"/>
    <cellStyle name="Percent 3 4 2" xfId="282" xr:uid="{00000000-0005-0000-0000-000026020000}"/>
    <cellStyle name="Percent 3 4 2 2" xfId="575" xr:uid="{00000000-0005-0000-0000-000027020000}"/>
    <cellStyle name="Percent 3 4 3" xfId="283" xr:uid="{00000000-0005-0000-0000-000028020000}"/>
    <cellStyle name="Percent 3 4 3 2" xfId="576" xr:uid="{00000000-0005-0000-0000-000029020000}"/>
    <cellStyle name="Percent 3 4 4" xfId="574" xr:uid="{00000000-0005-0000-0000-00002A020000}"/>
    <cellStyle name="Percent 3 5" xfId="284" xr:uid="{00000000-0005-0000-0000-00002B020000}"/>
    <cellStyle name="Percent 3 5 2" xfId="577" xr:uid="{00000000-0005-0000-0000-00002C020000}"/>
    <cellStyle name="Percent 3 6" xfId="285" xr:uid="{00000000-0005-0000-0000-00002D020000}"/>
    <cellStyle name="Percent 3 6 2" xfId="286" xr:uid="{00000000-0005-0000-0000-00002E020000}"/>
    <cellStyle name="Percent 3 6 2 2" xfId="579" xr:uid="{00000000-0005-0000-0000-00002F020000}"/>
    <cellStyle name="Percent 3 6 3" xfId="578" xr:uid="{00000000-0005-0000-0000-000030020000}"/>
    <cellStyle name="Percent 3 7" xfId="287" xr:uid="{00000000-0005-0000-0000-000031020000}"/>
    <cellStyle name="Percent 3 7 2" xfId="404" xr:uid="{00000000-0005-0000-0000-000032020000}"/>
    <cellStyle name="Percent 3 7 2 2" xfId="646" xr:uid="{00000000-0005-0000-0000-000033020000}"/>
    <cellStyle name="Percent 3 7 3" xfId="580" xr:uid="{00000000-0005-0000-0000-000034020000}"/>
    <cellStyle name="Percent 3 8" xfId="288" xr:uid="{00000000-0005-0000-0000-000035020000}"/>
    <cellStyle name="Percent 3 8 2" xfId="405" xr:uid="{00000000-0005-0000-0000-000036020000}"/>
    <cellStyle name="Percent 3 8 3" xfId="581" xr:uid="{00000000-0005-0000-0000-000037020000}"/>
    <cellStyle name="Percent 3 9" xfId="582" xr:uid="{00000000-0005-0000-0000-000038020000}"/>
    <cellStyle name="Percent 4" xfId="289" xr:uid="{00000000-0005-0000-0000-000039020000}"/>
    <cellStyle name="Percent 4 2" xfId="290" xr:uid="{00000000-0005-0000-0000-00003A020000}"/>
    <cellStyle name="Percent 4 2 2" xfId="584" xr:uid="{00000000-0005-0000-0000-00003B020000}"/>
    <cellStyle name="Percent 4 3" xfId="291" xr:uid="{00000000-0005-0000-0000-00003C020000}"/>
    <cellStyle name="Percent 4 3 2" xfId="585" xr:uid="{00000000-0005-0000-0000-00003D020000}"/>
    <cellStyle name="Percent 4 4" xfId="406" xr:uid="{00000000-0005-0000-0000-00003E020000}"/>
    <cellStyle name="Percent 4 4 2" xfId="647" xr:uid="{00000000-0005-0000-0000-00003F020000}"/>
    <cellStyle name="Percent 4 5" xfId="583" xr:uid="{00000000-0005-0000-0000-000040020000}"/>
    <cellStyle name="Percent 4 6" xfId="626" xr:uid="{00000000-0005-0000-0000-000041020000}"/>
    <cellStyle name="Percent 5" xfId="292" xr:uid="{00000000-0005-0000-0000-000042020000}"/>
    <cellStyle name="Percent 5 2" xfId="293" xr:uid="{00000000-0005-0000-0000-000043020000}"/>
    <cellStyle name="Percent 5 2 2" xfId="587" xr:uid="{00000000-0005-0000-0000-000044020000}"/>
    <cellStyle name="Percent 5 3" xfId="586" xr:uid="{00000000-0005-0000-0000-000045020000}"/>
    <cellStyle name="Percent 6" xfId="294" xr:uid="{00000000-0005-0000-0000-000046020000}"/>
    <cellStyle name="Percent 6 2" xfId="407" xr:uid="{00000000-0005-0000-0000-000047020000}"/>
    <cellStyle name="Percent 6 2 2" xfId="648" xr:uid="{00000000-0005-0000-0000-000048020000}"/>
    <cellStyle name="Percent 6 3" xfId="588" xr:uid="{00000000-0005-0000-0000-000049020000}"/>
    <cellStyle name="Percent 6 4" xfId="627" xr:uid="{00000000-0005-0000-0000-00004A020000}"/>
    <cellStyle name="Percent 7" xfId="295" xr:uid="{00000000-0005-0000-0000-00004B020000}"/>
    <cellStyle name="Percent 7 2" xfId="296" xr:uid="{00000000-0005-0000-0000-00004C020000}"/>
    <cellStyle name="Percent 7 2 2" xfId="590" xr:uid="{00000000-0005-0000-0000-00004D020000}"/>
    <cellStyle name="Percent 7 3" xfId="297" xr:uid="{00000000-0005-0000-0000-00004E020000}"/>
    <cellStyle name="Percent 7 3 2" xfId="591" xr:uid="{00000000-0005-0000-0000-00004F020000}"/>
    <cellStyle name="Percent 7 4" xfId="592" xr:uid="{00000000-0005-0000-0000-000050020000}"/>
    <cellStyle name="Percent 7 5" xfId="589" xr:uid="{00000000-0005-0000-0000-000051020000}"/>
    <cellStyle name="Percent 8" xfId="298" xr:uid="{00000000-0005-0000-0000-000052020000}"/>
    <cellStyle name="Percent 8 2" xfId="408" xr:uid="{00000000-0005-0000-0000-000053020000}"/>
    <cellStyle name="Percent 8 2 2" xfId="649" xr:uid="{00000000-0005-0000-0000-000054020000}"/>
    <cellStyle name="Percent 8 3" xfId="593" xr:uid="{00000000-0005-0000-0000-000055020000}"/>
    <cellStyle name="Percent 9" xfId="299" xr:uid="{00000000-0005-0000-0000-000056020000}"/>
    <cellStyle name="Percent 9 2" xfId="409" xr:uid="{00000000-0005-0000-0000-000057020000}"/>
    <cellStyle name="Percent 9 3" xfId="594" xr:uid="{00000000-0005-0000-0000-000058020000}"/>
    <cellStyle name="PSChar" xfId="300" xr:uid="{00000000-0005-0000-0000-000059020000}"/>
    <cellStyle name="PSDate" xfId="301" xr:uid="{00000000-0005-0000-0000-00005A020000}"/>
    <cellStyle name="PSDec" xfId="302" xr:uid="{00000000-0005-0000-0000-00005B020000}"/>
    <cellStyle name="PSdesc" xfId="303" xr:uid="{00000000-0005-0000-0000-00005C020000}"/>
    <cellStyle name="PSdesc 2" xfId="595" xr:uid="{00000000-0005-0000-0000-00005D020000}"/>
    <cellStyle name="PSHeading" xfId="304" xr:uid="{00000000-0005-0000-0000-00005E020000}"/>
    <cellStyle name="PSInt" xfId="305" xr:uid="{00000000-0005-0000-0000-00005F020000}"/>
    <cellStyle name="PSSpacer" xfId="306" xr:uid="{00000000-0005-0000-0000-000060020000}"/>
    <cellStyle name="PStest" xfId="307" xr:uid="{00000000-0005-0000-0000-000061020000}"/>
    <cellStyle name="PStest 2" xfId="596" xr:uid="{00000000-0005-0000-0000-000062020000}"/>
    <cellStyle name="R00A" xfId="308" xr:uid="{00000000-0005-0000-0000-000063020000}"/>
    <cellStyle name="R00B" xfId="309" xr:uid="{00000000-0005-0000-0000-000064020000}"/>
    <cellStyle name="R00L" xfId="310" xr:uid="{00000000-0005-0000-0000-000065020000}"/>
    <cellStyle name="R01A" xfId="311" xr:uid="{00000000-0005-0000-0000-000066020000}"/>
    <cellStyle name="R01B" xfId="312" xr:uid="{00000000-0005-0000-0000-000067020000}"/>
    <cellStyle name="R01B 2" xfId="415" xr:uid="{00000000-0005-0000-0000-000068020000}"/>
    <cellStyle name="R01H" xfId="313" xr:uid="{00000000-0005-0000-0000-000069020000}"/>
    <cellStyle name="R01L" xfId="314" xr:uid="{00000000-0005-0000-0000-00006A020000}"/>
    <cellStyle name="R02A" xfId="315" xr:uid="{00000000-0005-0000-0000-00006B020000}"/>
    <cellStyle name="R02B" xfId="316" xr:uid="{00000000-0005-0000-0000-00006C020000}"/>
    <cellStyle name="R02B 2" xfId="597" xr:uid="{00000000-0005-0000-0000-00006D020000}"/>
    <cellStyle name="R02H" xfId="317" xr:uid="{00000000-0005-0000-0000-00006E020000}"/>
    <cellStyle name="R02L" xfId="318" xr:uid="{00000000-0005-0000-0000-00006F020000}"/>
    <cellStyle name="R03A" xfId="319" xr:uid="{00000000-0005-0000-0000-000070020000}"/>
    <cellStyle name="R03B" xfId="320" xr:uid="{00000000-0005-0000-0000-000071020000}"/>
    <cellStyle name="R03B 2" xfId="598" xr:uid="{00000000-0005-0000-0000-000072020000}"/>
    <cellStyle name="R03H" xfId="321" xr:uid="{00000000-0005-0000-0000-000073020000}"/>
    <cellStyle name="R03L" xfId="322" xr:uid="{00000000-0005-0000-0000-000074020000}"/>
    <cellStyle name="R04A" xfId="323" xr:uid="{00000000-0005-0000-0000-000075020000}"/>
    <cellStyle name="R04B" xfId="324" xr:uid="{00000000-0005-0000-0000-000076020000}"/>
    <cellStyle name="R04B 2" xfId="599" xr:uid="{00000000-0005-0000-0000-000077020000}"/>
    <cellStyle name="R04H" xfId="325" xr:uid="{00000000-0005-0000-0000-000078020000}"/>
    <cellStyle name="R04L" xfId="326" xr:uid="{00000000-0005-0000-0000-000079020000}"/>
    <cellStyle name="R05A" xfId="327" xr:uid="{00000000-0005-0000-0000-00007A020000}"/>
    <cellStyle name="R05B" xfId="328" xr:uid="{00000000-0005-0000-0000-00007B020000}"/>
    <cellStyle name="R05B 2" xfId="600" xr:uid="{00000000-0005-0000-0000-00007C020000}"/>
    <cellStyle name="R05H" xfId="329" xr:uid="{00000000-0005-0000-0000-00007D020000}"/>
    <cellStyle name="R05L" xfId="330" xr:uid="{00000000-0005-0000-0000-00007E020000}"/>
    <cellStyle name="R05L 2" xfId="601" xr:uid="{00000000-0005-0000-0000-00007F020000}"/>
    <cellStyle name="R06A" xfId="331" xr:uid="{00000000-0005-0000-0000-000080020000}"/>
    <cellStyle name="R06B" xfId="332" xr:uid="{00000000-0005-0000-0000-000081020000}"/>
    <cellStyle name="R06B 2" xfId="602" xr:uid="{00000000-0005-0000-0000-000082020000}"/>
    <cellStyle name="R06H" xfId="333" xr:uid="{00000000-0005-0000-0000-000083020000}"/>
    <cellStyle name="R06L" xfId="334" xr:uid="{00000000-0005-0000-0000-000084020000}"/>
    <cellStyle name="R07A" xfId="335" xr:uid="{00000000-0005-0000-0000-000085020000}"/>
    <cellStyle name="R07B" xfId="336" xr:uid="{00000000-0005-0000-0000-000086020000}"/>
    <cellStyle name="R07B 2" xfId="603" xr:uid="{00000000-0005-0000-0000-000087020000}"/>
    <cellStyle name="R07H" xfId="337" xr:uid="{00000000-0005-0000-0000-000088020000}"/>
    <cellStyle name="R07L" xfId="338" xr:uid="{00000000-0005-0000-0000-000089020000}"/>
    <cellStyle name="Title" xfId="339" builtinId="15" customBuiltin="1"/>
    <cellStyle name="Title 2" xfId="340" xr:uid="{00000000-0005-0000-0000-00008B020000}"/>
    <cellStyle name="Total" xfId="341" builtinId="25" customBuiltin="1"/>
    <cellStyle name="Total 2" xfId="342" xr:uid="{00000000-0005-0000-0000-00008D020000}"/>
    <cellStyle name="Total 2 2" xfId="605" xr:uid="{00000000-0005-0000-0000-00008E020000}"/>
    <cellStyle name="Total 3" xfId="604" xr:uid="{00000000-0005-0000-0000-00008F020000}"/>
    <cellStyle name="Warning Text" xfId="343" builtinId="11" customBuiltin="1"/>
    <cellStyle name="Warning Text 2" xfId="344" xr:uid="{00000000-0005-0000-0000-000091020000}"/>
  </cellStyles>
  <dxfs count="6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1"/>
  <sheetViews>
    <sheetView tabSelected="1" view="pageBreakPreview" zoomScale="75" zoomScaleNormal="85" zoomScaleSheetLayoutView="75" zoomScalePageLayoutView="50" workbookViewId="0">
      <selection activeCell="D5" sqref="D5"/>
    </sheetView>
  </sheetViews>
  <sheetFormatPr defaultColWidth="11.42578125" defaultRowHeight="15"/>
  <cols>
    <col min="1" max="1" width="4.5703125" style="313" customWidth="1"/>
    <col min="2" max="2" width="7.85546875" style="312" customWidth="1"/>
    <col min="3" max="3" width="1.85546875" style="313" customWidth="1"/>
    <col min="4" max="4" width="70.140625" style="313" customWidth="1"/>
    <col min="5" max="5" width="25.5703125" style="313" customWidth="1"/>
    <col min="6" max="6" width="22.42578125" style="313" customWidth="1"/>
    <col min="7" max="7" width="20.5703125" style="313" customWidth="1"/>
    <col min="8" max="8" width="16.140625" style="313" customWidth="1"/>
    <col min="9" max="9" width="11.42578125" style="313" customWidth="1"/>
    <col min="10" max="10" width="21.5703125" style="313" bestFit="1" customWidth="1"/>
    <col min="11" max="11" width="4.5703125" style="313" customWidth="1"/>
    <col min="12" max="12" width="23" style="313" customWidth="1"/>
    <col min="13" max="13" width="5" style="313" customWidth="1"/>
    <col min="14" max="14" width="31.140625" style="313" customWidth="1"/>
    <col min="15" max="15" width="8.140625" style="313" customWidth="1"/>
    <col min="16" max="16" width="21.85546875" style="313" customWidth="1"/>
    <col min="17" max="17" width="11.42578125" style="313" customWidth="1"/>
    <col min="18" max="18" width="20.5703125" style="313" bestFit="1" customWidth="1"/>
    <col min="19" max="16384" width="11.42578125" style="313"/>
  </cols>
  <sheetData>
    <row r="1" spans="1:15" ht="15.75">
      <c r="A1" s="898" t="s">
        <v>114</v>
      </c>
    </row>
    <row r="2" spans="1:15" ht="15.75">
      <c r="A2" s="898" t="s">
        <v>114</v>
      </c>
    </row>
    <row r="3" spans="1:15" ht="15.75">
      <c r="A3" s="313" t="s">
        <v>114</v>
      </c>
      <c r="D3" s="314"/>
      <c r="E3" s="315"/>
      <c r="F3" s="315"/>
      <c r="G3" s="316"/>
      <c r="I3" s="317"/>
      <c r="J3" s="317"/>
      <c r="K3" s="317"/>
      <c r="L3" s="318"/>
    </row>
    <row r="4" spans="1:15">
      <c r="J4" s="313" t="s">
        <v>819</v>
      </c>
      <c r="L4" s="833">
        <v>2021</v>
      </c>
    </row>
    <row r="5" spans="1:15">
      <c r="D5" s="319"/>
      <c r="E5" s="319"/>
      <c r="F5" s="320" t="s">
        <v>385</v>
      </c>
      <c r="G5" s="321"/>
      <c r="H5" s="321"/>
      <c r="J5" s="319"/>
      <c r="K5" s="322"/>
      <c r="L5" s="322"/>
      <c r="M5" s="323"/>
      <c r="O5" s="324"/>
    </row>
    <row r="6" spans="1:15">
      <c r="D6" s="319"/>
      <c r="E6" s="325"/>
      <c r="F6" s="320" t="s">
        <v>386</v>
      </c>
      <c r="G6" s="321"/>
      <c r="H6" s="321"/>
      <c r="J6" s="325"/>
      <c r="K6" s="322"/>
      <c r="L6" s="322"/>
      <c r="M6" s="323"/>
    </row>
    <row r="7" spans="1:15">
      <c r="D7" s="322"/>
      <c r="E7" s="322"/>
      <c r="F7" s="326" t="str">
        <f>"Utilizing  Actual/Projected FERC Form 1 Data"</f>
        <v>Utilizing  Actual/Projected FERC Form 1 Data</v>
      </c>
      <c r="G7" s="321"/>
      <c r="H7" s="321"/>
      <c r="J7" s="322"/>
      <c r="K7" s="322"/>
      <c r="L7" s="322"/>
      <c r="M7" s="323"/>
    </row>
    <row r="8" spans="1:15">
      <c r="B8" s="327"/>
      <c r="C8" s="328"/>
      <c r="D8" s="322"/>
      <c r="H8" s="329"/>
      <c r="I8" s="329"/>
      <c r="J8" s="329"/>
      <c r="K8" s="329"/>
      <c r="L8" s="322"/>
      <c r="M8" s="322"/>
    </row>
    <row r="9" spans="1:15" ht="15.75">
      <c r="B9" s="327"/>
      <c r="C9" s="328"/>
      <c r="D9" s="330"/>
      <c r="E9" s="322"/>
      <c r="F9" s="331" t="s">
        <v>863</v>
      </c>
      <c r="G9" s="332"/>
      <c r="H9" s="322"/>
      <c r="I9" s="322"/>
      <c r="J9" s="322"/>
      <c r="K9" s="322"/>
      <c r="L9" s="330"/>
      <c r="M9" s="322"/>
    </row>
    <row r="10" spans="1:15">
      <c r="B10" s="327"/>
      <c r="C10" s="328"/>
      <c r="D10" s="322"/>
      <c r="E10" s="322"/>
      <c r="F10" s="333"/>
      <c r="G10" s="332"/>
      <c r="H10" s="322"/>
      <c r="I10" s="322"/>
      <c r="J10" s="322"/>
      <c r="K10" s="322"/>
      <c r="L10" s="330"/>
      <c r="M10" s="322"/>
    </row>
    <row r="11" spans="1:15">
      <c r="B11" s="327" t="s">
        <v>169</v>
      </c>
      <c r="C11" s="328"/>
      <c r="D11" s="322"/>
      <c r="E11" s="322"/>
      <c r="F11" s="322"/>
      <c r="G11" s="332"/>
      <c r="H11" s="322"/>
      <c r="I11" s="322"/>
      <c r="J11" s="322"/>
      <c r="K11" s="322"/>
      <c r="L11" s="328" t="s">
        <v>115</v>
      </c>
      <c r="M11" s="322"/>
    </row>
    <row r="12" spans="1:15" ht="15.75" thickBot="1">
      <c r="B12" s="334" t="s">
        <v>117</v>
      </c>
      <c r="C12" s="335"/>
      <c r="D12" s="322"/>
      <c r="E12" s="335"/>
      <c r="F12" s="322"/>
      <c r="G12" s="322"/>
      <c r="H12" s="322"/>
      <c r="I12" s="322"/>
      <c r="J12" s="322"/>
      <c r="K12" s="322"/>
      <c r="L12" s="336" t="s">
        <v>170</v>
      </c>
      <c r="M12" s="322"/>
    </row>
    <row r="13" spans="1:15">
      <c r="B13" s="327">
        <f>1</f>
        <v>1</v>
      </c>
      <c r="C13" s="328"/>
      <c r="D13" s="337" t="s">
        <v>111</v>
      </c>
      <c r="E13" s="338" t="str">
        <f>"(ln "&amp;B213&amp;")"</f>
        <v>(ln 130)</v>
      </c>
      <c r="F13" s="338"/>
      <c r="G13" s="339"/>
      <c r="H13" s="340"/>
      <c r="I13" s="322"/>
      <c r="J13" s="322"/>
      <c r="K13" s="322"/>
      <c r="L13" s="341">
        <f>+L213</f>
        <v>376991605.33779609</v>
      </c>
      <c r="M13" s="322"/>
    </row>
    <row r="14" spans="1:15" ht="15.75" thickBot="1">
      <c r="B14" s="327"/>
      <c r="C14" s="328"/>
      <c r="E14" s="342"/>
      <c r="F14" s="343"/>
      <c r="G14" s="336" t="s">
        <v>118</v>
      </c>
      <c r="H14" s="325"/>
      <c r="I14" s="344" t="s">
        <v>119</v>
      </c>
      <c r="J14" s="344"/>
      <c r="K14" s="322"/>
      <c r="L14" s="339"/>
      <c r="M14" s="322"/>
    </row>
    <row r="15" spans="1:15">
      <c r="B15" s="327">
        <f>+B13+1</f>
        <v>2</v>
      </c>
      <c r="C15" s="328"/>
      <c r="D15" s="345" t="s">
        <v>168</v>
      </c>
      <c r="E15" s="342" t="s">
        <v>613</v>
      </c>
      <c r="F15" s="343"/>
      <c r="G15" s="346">
        <f>+'WS E Rev Credits'!K31</f>
        <v>14168152.256000001</v>
      </c>
      <c r="H15" s="343"/>
      <c r="I15" s="347" t="s">
        <v>129</v>
      </c>
      <c r="J15" s="348">
        <v>1</v>
      </c>
      <c r="K15" s="325"/>
      <c r="L15" s="349">
        <f>+J15*G15</f>
        <v>14168152.256000001</v>
      </c>
      <c r="M15" s="322"/>
    </row>
    <row r="16" spans="1:15">
      <c r="B16" s="327"/>
      <c r="C16" s="328"/>
      <c r="D16" s="345"/>
      <c r="F16" s="325"/>
      <c r="L16" s="350"/>
      <c r="M16" s="322"/>
    </row>
    <row r="17" spans="2:13">
      <c r="B17" s="327"/>
      <c r="C17" s="328"/>
      <c r="D17" s="345"/>
      <c r="F17" s="325"/>
      <c r="L17" s="351"/>
      <c r="M17" s="322"/>
    </row>
    <row r="18" spans="2:13">
      <c r="B18" s="327">
        <f>+B15+1</f>
        <v>3</v>
      </c>
      <c r="C18" s="328"/>
      <c r="D18" s="345" t="s">
        <v>534</v>
      </c>
      <c r="E18" s="313" t="s">
        <v>614</v>
      </c>
      <c r="F18" s="325"/>
      <c r="L18" s="349">
        <f>'WS E Rev Credits'!K39</f>
        <v>6197030.2899999991</v>
      </c>
      <c r="M18" s="322"/>
    </row>
    <row r="19" spans="2:13">
      <c r="B19" s="327"/>
      <c r="C19" s="328"/>
      <c r="D19" s="345"/>
      <c r="F19" s="325"/>
      <c r="L19" s="351"/>
      <c r="M19" s="322"/>
    </row>
    <row r="20" spans="2:13" ht="15.75" thickBot="1">
      <c r="B20" s="352">
        <f>+B18+1</f>
        <v>4</v>
      </c>
      <c r="C20" s="353"/>
      <c r="D20" s="354" t="s">
        <v>464</v>
      </c>
      <c r="E20" s="355" t="str">
        <f>"(ln "&amp;B13&amp;" less  ln " &amp;B15&amp;" plus ln "&amp;B18&amp;")"</f>
        <v>(ln 1 less  ln 2 plus ln 3)</v>
      </c>
      <c r="F20" s="322"/>
      <c r="H20" s="325"/>
      <c r="I20" s="356"/>
      <c r="J20" s="325"/>
      <c r="K20" s="325"/>
      <c r="L20" s="357">
        <f>+L13-L15+L18</f>
        <v>369020483.37179613</v>
      </c>
      <c r="M20" s="322"/>
    </row>
    <row r="21" spans="2:13" ht="15.75" thickTop="1">
      <c r="B21" s="352"/>
      <c r="C21" s="353"/>
      <c r="D21" s="354"/>
      <c r="E21" s="355"/>
      <c r="F21" s="322"/>
      <c r="H21" s="325"/>
      <c r="I21" s="356"/>
      <c r="J21" s="325"/>
      <c r="K21" s="325"/>
      <c r="L21" s="349"/>
      <c r="M21" s="322"/>
    </row>
    <row r="22" spans="2:13">
      <c r="B22" s="352"/>
      <c r="C22" s="353"/>
      <c r="D22" s="354"/>
      <c r="E22" s="355"/>
      <c r="F22" s="322"/>
      <c r="H22" s="325"/>
      <c r="I22" s="356"/>
      <c r="J22" s="325"/>
      <c r="K22" s="325"/>
      <c r="L22" s="349"/>
      <c r="M22" s="322"/>
    </row>
    <row r="23" spans="2:13">
      <c r="B23" s="352"/>
      <c r="C23" s="353"/>
      <c r="D23" s="345"/>
      <c r="E23" s="355"/>
      <c r="F23" s="322"/>
      <c r="H23" s="325"/>
      <c r="I23" s="356"/>
      <c r="J23" s="325"/>
      <c r="K23" s="325"/>
      <c r="L23" s="358"/>
      <c r="M23" s="322"/>
    </row>
    <row r="24" spans="2:13" ht="15" customHeight="1">
      <c r="B24" s="163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638"/>
      <c r="D24" s="1638"/>
      <c r="E24" s="1638"/>
      <c r="F24" s="1638"/>
      <c r="G24" s="1638"/>
      <c r="H24" s="1638"/>
      <c r="I24" s="1638"/>
    </row>
    <row r="25" spans="2:13" ht="35.25" customHeight="1">
      <c r="B25" s="1638"/>
      <c r="C25" s="1638"/>
      <c r="D25" s="1638"/>
      <c r="E25" s="1638"/>
      <c r="F25" s="1638"/>
      <c r="G25" s="1638"/>
      <c r="H25" s="1638"/>
      <c r="I25" s="1638"/>
    </row>
    <row r="26" spans="2:13" ht="15" customHeight="1">
      <c r="B26" s="359"/>
      <c r="C26" s="359"/>
      <c r="D26" s="359"/>
      <c r="E26" s="359"/>
      <c r="F26" s="359"/>
      <c r="G26" s="359"/>
      <c r="H26" s="359"/>
      <c r="I26" s="359"/>
    </row>
    <row r="27" spans="2:13">
      <c r="B27" s="327">
        <f>+B20+1</f>
        <v>5</v>
      </c>
      <c r="C27" s="353"/>
      <c r="D27" s="360" t="s">
        <v>535</v>
      </c>
      <c r="E27" s="342"/>
      <c r="F27" s="343"/>
      <c r="G27" s="361">
        <f>'WS K TRUE-UP RTEP RR'!N22</f>
        <v>10107943.390164027</v>
      </c>
      <c r="H27" s="343"/>
      <c r="I27" s="347" t="s">
        <v>129</v>
      </c>
      <c r="J27" s="348">
        <v>1</v>
      </c>
      <c r="K27" s="338"/>
      <c r="L27" s="362">
        <f>+J27*G27</f>
        <v>10107943.390164027</v>
      </c>
      <c r="M27" s="322"/>
    </row>
    <row r="28" spans="2:13">
      <c r="B28" s="327"/>
      <c r="C28" s="353"/>
      <c r="D28" s="360"/>
      <c r="E28" s="355"/>
      <c r="F28" s="343"/>
      <c r="G28" s="361"/>
      <c r="H28" s="343"/>
      <c r="I28" s="343"/>
      <c r="J28" s="348"/>
      <c r="K28" s="338"/>
      <c r="L28" s="362"/>
      <c r="M28" s="322"/>
    </row>
    <row r="29" spans="2:13">
      <c r="B29" s="352">
        <f>+B27+1</f>
        <v>6</v>
      </c>
      <c r="C29" s="353"/>
      <c r="D29" s="360" t="s">
        <v>373</v>
      </c>
      <c r="E29" s="342"/>
      <c r="F29" s="322"/>
      <c r="G29" s="363"/>
      <c r="H29" s="322"/>
      <c r="J29" s="322"/>
      <c r="K29" s="322"/>
      <c r="M29" s="322"/>
    </row>
    <row r="30" spans="2:13">
      <c r="B30" s="327">
        <f>B29+1</f>
        <v>7</v>
      </c>
      <c r="C30" s="353"/>
      <c r="D30" s="364" t="s">
        <v>250</v>
      </c>
      <c r="E30" s="338" t="str">
        <f>"( (ln "&amp;B13&amp;" - ln "&amp;B168&amp;")/((ln "&amp;$B$91&amp;") x 100) )"</f>
        <v>( (ln 1 - ln 95)/((ln 42) x 100) )</v>
      </c>
      <c r="F30" s="328"/>
      <c r="G30" s="328"/>
      <c r="H30" s="328"/>
      <c r="I30" s="365"/>
      <c r="J30" s="365"/>
      <c r="K30" s="365"/>
      <c r="L30" s="366">
        <f>(L13-L168)/L$91</f>
        <v>0.18607731364746777</v>
      </c>
      <c r="M30" s="322"/>
    </row>
    <row r="31" spans="2:13">
      <c r="B31" s="327">
        <f>B30+1</f>
        <v>8</v>
      </c>
      <c r="C31" s="353"/>
      <c r="D31" s="364" t="s">
        <v>251</v>
      </c>
      <c r="E31" s="338" t="str">
        <f>"(ln "&amp;B30&amp;" / 12)"</f>
        <v>(ln 7 / 12)</v>
      </c>
      <c r="F31" s="328"/>
      <c r="G31" s="328"/>
      <c r="H31" s="328"/>
      <c r="I31" s="365"/>
      <c r="J31" s="365"/>
      <c r="K31" s="365"/>
      <c r="L31" s="367">
        <f>L30/12</f>
        <v>1.5506442803955647E-2</v>
      </c>
      <c r="M31" s="322"/>
    </row>
    <row r="32" spans="2:13">
      <c r="B32" s="327"/>
      <c r="C32" s="353"/>
      <c r="D32" s="364"/>
      <c r="E32" s="338"/>
      <c r="F32" s="328"/>
      <c r="G32" s="328"/>
      <c r="H32" s="328"/>
      <c r="I32" s="365"/>
      <c r="J32" s="365"/>
      <c r="K32" s="365"/>
      <c r="L32" s="367"/>
      <c r="M32" s="322"/>
    </row>
    <row r="33" spans="2:14">
      <c r="B33" s="327">
        <f>B31+1</f>
        <v>9</v>
      </c>
      <c r="C33" s="353"/>
      <c r="D33" s="360" t="str">
        <f>"NET PLANT CARRYING CHARGE ON LINE "&amp;B30&amp;" , w/o depreciation or ROE incentives (Note B)"</f>
        <v>NET PLANT CARRYING CHARGE ON LINE 7 , w/o depreciation or ROE incentives (Note B)</v>
      </c>
      <c r="E33" s="338"/>
      <c r="F33" s="328"/>
      <c r="G33" s="328"/>
      <c r="H33" s="328"/>
      <c r="I33" s="365"/>
      <c r="J33" s="365"/>
      <c r="K33" s="365"/>
      <c r="L33" s="367"/>
      <c r="M33" s="322"/>
    </row>
    <row r="34" spans="2:14">
      <c r="B34" s="327">
        <f>B33+1</f>
        <v>10</v>
      </c>
      <c r="C34" s="353"/>
      <c r="D34" s="364" t="s">
        <v>250</v>
      </c>
      <c r="E34" s="338" t="str">
        <f>"( (ln "&amp;B13&amp;" - ln "&amp;B168&amp;" - ln "&amp;B174&amp;" ) /((ln "&amp;$B$91&amp;") x 100) )"</f>
        <v>( (ln 1 - ln 95 - ln 100 ) /((ln 42) x 100) )</v>
      </c>
      <c r="F34" s="328"/>
      <c r="G34" s="328"/>
      <c r="H34" s="328"/>
      <c r="I34" s="365"/>
      <c r="J34" s="365"/>
      <c r="K34" s="365"/>
      <c r="L34" s="366">
        <f>(L13-L168-L174)/L91</f>
        <v>0.15341253840442806</v>
      </c>
      <c r="M34" s="322"/>
    </row>
    <row r="35" spans="2:14">
      <c r="B35" s="327"/>
      <c r="C35" s="353"/>
      <c r="D35" s="364"/>
      <c r="E35" s="338"/>
      <c r="F35" s="328"/>
      <c r="G35" s="328"/>
      <c r="H35" s="328"/>
      <c r="I35" s="365"/>
      <c r="J35" s="365"/>
      <c r="K35" s="365"/>
      <c r="L35" s="367"/>
      <c r="M35" s="322"/>
    </row>
    <row r="36" spans="2:14">
      <c r="B36" s="327">
        <f>B34+1</f>
        <v>11</v>
      </c>
      <c r="C36" s="353"/>
      <c r="D36" s="360" t="str">
        <f>"NET PLANT CARRYING CHARGE ON LINE "&amp;B34&amp;", w/o Return, income taxes or ROE incentives (Note B)"</f>
        <v>NET PLANT CARRYING CHARGE ON LINE 10, w/o Return, income taxes or ROE incentives (Note B)</v>
      </c>
      <c r="E36" s="338"/>
      <c r="F36" s="368"/>
      <c r="G36" s="368"/>
      <c r="H36" s="368"/>
      <c r="I36" s="368"/>
      <c r="J36" s="368"/>
      <c r="K36" s="368"/>
      <c r="L36" s="368"/>
      <c r="M36" s="330"/>
    </row>
    <row r="37" spans="2:14">
      <c r="B37" s="327">
        <f>B36+1</f>
        <v>12</v>
      </c>
      <c r="C37" s="353"/>
      <c r="D37" s="319" t="s">
        <v>250</v>
      </c>
      <c r="E37" s="338" t="str">
        <f>"( (ln "&amp;B13&amp;" - ln "&amp;B168&amp;" - ln "&amp;B174&amp;" - ln "&amp;B203&amp;" - ln "&amp;B205&amp;") /((ln "&amp;$B$91&amp;") x 100) )"</f>
        <v>( (ln 1 - ln 95 - ln 100 - ln 125 - ln 126) /((ln 42) x 100) )</v>
      </c>
      <c r="F37" s="368"/>
      <c r="G37" s="368"/>
      <c r="H37" s="368"/>
      <c r="I37" s="368"/>
      <c r="J37" s="368"/>
      <c r="K37" s="368"/>
      <c r="L37" s="369">
        <f>(L13-L168-L174-L203-L205)/L91</f>
        <v>8.5390920610747142E-2</v>
      </c>
      <c r="M37" s="330"/>
    </row>
    <row r="38" spans="2:14">
      <c r="B38" s="327"/>
      <c r="C38" s="353"/>
      <c r="D38" s="319"/>
      <c r="E38" s="338"/>
      <c r="F38" s="328"/>
      <c r="G38" s="328"/>
      <c r="H38" s="328"/>
      <c r="I38" s="365"/>
      <c r="J38" s="365"/>
      <c r="K38" s="365"/>
      <c r="L38" s="366"/>
      <c r="M38" s="370"/>
    </row>
    <row r="39" spans="2:14">
      <c r="B39" s="327">
        <f>B37+1</f>
        <v>13</v>
      </c>
      <c r="C39" s="328"/>
      <c r="D39" s="371" t="s">
        <v>590</v>
      </c>
      <c r="E39" s="338"/>
      <c r="F39" s="328"/>
      <c r="G39" s="328"/>
      <c r="H39" s="328"/>
      <c r="I39" s="365"/>
      <c r="J39" s="365"/>
      <c r="K39" s="365"/>
      <c r="L39" s="372">
        <f>'WS K TRUE-UP RTEP RR'!P23</f>
        <v>0</v>
      </c>
      <c r="M39" s="322"/>
    </row>
    <row r="40" spans="2:14">
      <c r="B40" s="327"/>
      <c r="C40" s="328"/>
      <c r="E40" s="338"/>
      <c r="F40" s="328"/>
      <c r="G40" s="328"/>
      <c r="H40" s="328"/>
      <c r="I40" s="365"/>
      <c r="J40" s="365"/>
      <c r="K40" s="365"/>
      <c r="L40" s="366"/>
      <c r="M40" s="322"/>
    </row>
    <row r="41" spans="2:14">
      <c r="B41" s="313"/>
      <c r="C41" s="328"/>
      <c r="E41" s="338"/>
      <c r="F41" s="328"/>
      <c r="G41" s="328"/>
      <c r="H41" s="328"/>
      <c r="I41" s="365"/>
      <c r="J41" s="365"/>
      <c r="K41" s="365"/>
      <c r="L41" s="366"/>
      <c r="M41" s="322"/>
    </row>
    <row r="42" spans="2:14" ht="15.75">
      <c r="B42" s="327">
        <f>+B39+1</f>
        <v>14</v>
      </c>
      <c r="C42" s="328"/>
      <c r="D42" s="1644" t="s">
        <v>432</v>
      </c>
      <c r="E42" s="1644"/>
      <c r="F42" s="1644"/>
      <c r="G42" s="1644"/>
      <c r="H42" s="1644"/>
      <c r="I42" s="1644"/>
      <c r="J42" s="1644"/>
      <c r="K42" s="1644"/>
      <c r="L42" s="1644"/>
      <c r="M42" s="322"/>
    </row>
    <row r="43" spans="2:14">
      <c r="B43" s="327"/>
      <c r="C43" s="328"/>
      <c r="E43" s="338"/>
      <c r="F43" s="328"/>
      <c r="G43" s="328"/>
      <c r="H43" s="328"/>
      <c r="I43" s="365"/>
      <c r="J43" s="365"/>
      <c r="K43" s="365"/>
      <c r="L43" s="366"/>
      <c r="M43" s="322"/>
    </row>
    <row r="44" spans="2:14">
      <c r="B44" s="327">
        <f>+B42+1</f>
        <v>15</v>
      </c>
      <c r="C44" s="328"/>
      <c r="D44" s="337" t="s">
        <v>434</v>
      </c>
      <c r="E44" s="338" t="str">
        <f>"Line "&amp;B146&amp;" Below"</f>
        <v>Line 75 Below</v>
      </c>
      <c r="F44" s="328"/>
      <c r="H44" s="328"/>
      <c r="I44" s="365"/>
      <c r="J44" s="365"/>
      <c r="K44" s="365"/>
      <c r="L44" s="373">
        <f>+G146</f>
        <v>958659.65</v>
      </c>
      <c r="M44" s="338"/>
      <c r="N44" s="318"/>
    </row>
    <row r="45" spans="2:14">
      <c r="B45" s="327">
        <f>+B44+1</f>
        <v>16</v>
      </c>
      <c r="C45" s="328"/>
      <c r="D45" s="337" t="s">
        <v>472</v>
      </c>
      <c r="E45" s="322"/>
      <c r="F45" s="328"/>
      <c r="H45" s="328"/>
      <c r="I45" s="365"/>
      <c r="J45" s="365"/>
      <c r="K45" s="365"/>
      <c r="L45" s="834">
        <f>'WS F Misc Exp'!D28</f>
        <v>109602.58</v>
      </c>
      <c r="M45" s="338"/>
      <c r="N45" s="318"/>
    </row>
    <row r="46" spans="2:14">
      <c r="B46" s="327">
        <f>+B45+1</f>
        <v>17</v>
      </c>
      <c r="C46" s="328"/>
      <c r="D46" s="337" t="s">
        <v>473</v>
      </c>
      <c r="E46" s="322"/>
      <c r="F46" s="328"/>
      <c r="H46" s="328"/>
      <c r="I46" s="365"/>
      <c r="J46" s="365"/>
      <c r="K46" s="365"/>
      <c r="L46" s="834">
        <f>'WS F Misc Exp'!D32</f>
        <v>0</v>
      </c>
      <c r="M46" s="338"/>
      <c r="N46" s="318"/>
    </row>
    <row r="47" spans="2:14">
      <c r="B47" s="327"/>
      <c r="C47" s="328"/>
      <c r="E47" s="322"/>
      <c r="F47" s="328"/>
      <c r="H47" s="328"/>
      <c r="I47" s="365"/>
      <c r="J47" s="365"/>
      <c r="K47" s="365"/>
      <c r="L47" s="328"/>
      <c r="M47" s="338"/>
      <c r="N47" s="318"/>
    </row>
    <row r="48" spans="2:14" ht="15.75" thickBot="1">
      <c r="B48" s="327">
        <f>+B46+1</f>
        <v>18</v>
      </c>
      <c r="C48" s="328"/>
      <c r="D48" s="337" t="s">
        <v>433</v>
      </c>
      <c r="E48" s="340" t="str">
        <f>"(Line "&amp;B44&amp;" - Line "&amp;B45&amp;" - Line "&amp;B46&amp;")"</f>
        <v>(Line 15 - Line 16 - Line 17)</v>
      </c>
      <c r="F48" s="328"/>
      <c r="H48" s="328"/>
      <c r="I48" s="365"/>
      <c r="J48" s="365"/>
      <c r="K48" s="365"/>
      <c r="L48" s="374">
        <f>+L44-L45-L46</f>
        <v>849057.07000000007</v>
      </c>
      <c r="M48" s="338"/>
      <c r="N48" s="318"/>
    </row>
    <row r="49" spans="2:16" ht="15.75" thickTop="1">
      <c r="B49" s="327"/>
      <c r="C49" s="328"/>
      <c r="E49" s="338"/>
      <c r="F49" s="328"/>
      <c r="G49" s="328"/>
      <c r="H49" s="328"/>
      <c r="I49" s="365"/>
      <c r="J49" s="365"/>
      <c r="K49" s="365"/>
      <c r="L49" s="366"/>
      <c r="M49" s="338"/>
      <c r="N49" s="318"/>
    </row>
    <row r="50" spans="2:16">
      <c r="B50" s="327"/>
      <c r="C50" s="328"/>
      <c r="E50" s="338"/>
      <c r="F50" s="328"/>
      <c r="G50" s="328"/>
      <c r="H50" s="328"/>
      <c r="I50" s="365"/>
      <c r="J50" s="365"/>
      <c r="K50" s="365"/>
      <c r="L50" s="366"/>
      <c r="M50" s="338"/>
      <c r="N50" s="318"/>
    </row>
    <row r="51" spans="2:16">
      <c r="B51" s="327"/>
      <c r="C51" s="328"/>
      <c r="E51" s="338"/>
      <c r="F51" s="328"/>
      <c r="G51" s="328"/>
      <c r="H51" s="328"/>
      <c r="I51" s="365"/>
      <c r="J51" s="365"/>
      <c r="K51" s="365"/>
      <c r="L51" s="366"/>
      <c r="M51" s="338"/>
      <c r="N51" s="318"/>
    </row>
    <row r="52" spans="2:16">
      <c r="D52" s="319"/>
      <c r="E52" s="319"/>
      <c r="G52" s="340"/>
      <c r="H52" s="319"/>
      <c r="I52" s="319"/>
      <c r="J52" s="319"/>
      <c r="K52" s="319"/>
      <c r="L52" s="319"/>
      <c r="M52" s="375"/>
      <c r="N52" s="318"/>
    </row>
    <row r="53" spans="2:16">
      <c r="D53" s="319"/>
      <c r="E53" s="319"/>
      <c r="F53" s="328"/>
      <c r="G53" s="340"/>
      <c r="H53" s="319"/>
      <c r="I53" s="319"/>
      <c r="J53" s="319"/>
      <c r="K53" s="319"/>
      <c r="L53" s="319"/>
      <c r="M53" s="375"/>
      <c r="N53" s="318"/>
      <c r="P53" s="376"/>
    </row>
    <row r="54" spans="2:16">
      <c r="D54" s="319"/>
      <c r="E54" s="319"/>
      <c r="F54" s="328" t="str">
        <f>F5</f>
        <v xml:space="preserve">AEP East Companies </v>
      </c>
      <c r="G54" s="340"/>
      <c r="H54" s="319"/>
      <c r="I54" s="319"/>
      <c r="J54" s="319"/>
      <c r="K54" s="319"/>
      <c r="L54" s="319"/>
      <c r="M54" s="375"/>
      <c r="N54" s="318"/>
      <c r="P54" s="376"/>
    </row>
    <row r="55" spans="2:16">
      <c r="D55" s="319"/>
      <c r="E55" s="325"/>
      <c r="F55" s="328" t="str">
        <f>F6</f>
        <v>Transmission Cost of Service Formula Rate</v>
      </c>
      <c r="G55" s="325"/>
      <c r="H55" s="325"/>
      <c r="I55" s="325"/>
      <c r="J55" s="325"/>
      <c r="K55" s="325"/>
      <c r="L55" s="325"/>
      <c r="M55" s="377"/>
      <c r="N55" s="318"/>
      <c r="P55" s="372"/>
    </row>
    <row r="56" spans="2:16">
      <c r="D56" s="319"/>
      <c r="E56" s="325"/>
      <c r="F56" s="356" t="str">
        <f>F7</f>
        <v>Utilizing  Actual/Projected FERC Form 1 Data</v>
      </c>
      <c r="G56" s="325"/>
      <c r="H56" s="325"/>
      <c r="I56" s="325"/>
      <c r="J56" s="325"/>
      <c r="K56" s="325"/>
      <c r="L56" s="325"/>
      <c r="M56" s="378"/>
      <c r="N56" s="318"/>
      <c r="P56" s="372"/>
    </row>
    <row r="57" spans="2:16">
      <c r="D57" s="319"/>
      <c r="E57" s="325"/>
      <c r="F57" s="328"/>
      <c r="G57" s="325"/>
      <c r="H57" s="325"/>
      <c r="I57" s="325"/>
      <c r="J57" s="325"/>
      <c r="K57" s="325"/>
      <c r="L57" s="325"/>
      <c r="M57" s="343"/>
      <c r="N57" s="318"/>
      <c r="P57" s="372"/>
    </row>
    <row r="58" spans="2:16">
      <c r="D58" s="319"/>
      <c r="E58" s="325"/>
      <c r="F58" s="328" t="str">
        <f>F9</f>
        <v>Ohio Power Company</v>
      </c>
      <c r="G58" s="325"/>
      <c r="H58" s="325"/>
      <c r="I58" s="325"/>
      <c r="J58" s="325"/>
      <c r="K58" s="325"/>
      <c r="L58" s="325"/>
      <c r="M58" s="343"/>
      <c r="N58" s="318"/>
      <c r="P58" s="372"/>
    </row>
    <row r="59" spans="2:16">
      <c r="D59" s="319"/>
      <c r="E59" s="356"/>
      <c r="F59" s="356"/>
      <c r="G59" s="356"/>
      <c r="H59" s="356"/>
      <c r="I59" s="356"/>
      <c r="J59" s="356"/>
      <c r="K59" s="356"/>
      <c r="L59" s="325"/>
      <c r="M59" s="343"/>
      <c r="N59" s="318"/>
      <c r="P59" s="372"/>
    </row>
    <row r="60" spans="2:16">
      <c r="D60" s="328" t="s">
        <v>121</v>
      </c>
      <c r="E60" s="328" t="s">
        <v>122</v>
      </c>
      <c r="F60" s="328"/>
      <c r="G60" s="328" t="s">
        <v>123</v>
      </c>
      <c r="H60" s="325" t="s">
        <v>114</v>
      </c>
      <c r="I60" s="1639" t="s">
        <v>124</v>
      </c>
      <c r="J60" s="1640"/>
      <c r="K60" s="325"/>
      <c r="L60" s="329" t="s">
        <v>125</v>
      </c>
      <c r="M60" s="343"/>
      <c r="N60" s="318"/>
    </row>
    <row r="61" spans="2:16">
      <c r="B61" s="313"/>
      <c r="D61" s="368"/>
      <c r="E61" s="368"/>
      <c r="F61" s="368"/>
      <c r="G61" s="373"/>
      <c r="H61" s="325"/>
      <c r="I61" s="325"/>
      <c r="J61" s="380"/>
      <c r="K61" s="325"/>
      <c r="M61" s="343"/>
      <c r="N61" s="318"/>
    </row>
    <row r="62" spans="2:16" ht="15.75">
      <c r="B62" s="381"/>
      <c r="C62" s="328"/>
      <c r="D62" s="368"/>
      <c r="E62" s="382" t="s">
        <v>95</v>
      </c>
      <c r="F62" s="383"/>
      <c r="G62" s="325"/>
      <c r="H62" s="325"/>
      <c r="I62" s="325"/>
      <c r="J62" s="328"/>
      <c r="K62" s="325"/>
      <c r="L62" s="384" t="s">
        <v>118</v>
      </c>
      <c r="M62" s="343"/>
      <c r="N62" s="318"/>
      <c r="P62" s="376"/>
    </row>
    <row r="63" spans="2:16" ht="15.75">
      <c r="B63" s="313"/>
      <c r="C63" s="335"/>
      <c r="D63" s="385" t="s">
        <v>94</v>
      </c>
      <c r="E63" s="386" t="s">
        <v>112</v>
      </c>
      <c r="F63" s="325"/>
      <c r="G63" s="385" t="s">
        <v>81</v>
      </c>
      <c r="H63" s="387"/>
      <c r="I63" s="1641" t="s">
        <v>119</v>
      </c>
      <c r="J63" s="1642"/>
      <c r="K63" s="387"/>
      <c r="L63" s="385" t="s">
        <v>115</v>
      </c>
      <c r="M63" s="343"/>
      <c r="N63" s="318"/>
    </row>
    <row r="64" spans="2:16">
      <c r="B64" s="1111" t="str">
        <f>B11</f>
        <v>Line</v>
      </c>
      <c r="C64" s="353"/>
      <c r="D64" s="364"/>
      <c r="E64" s="343"/>
      <c r="F64" s="343"/>
      <c r="G64" s="1112" t="s">
        <v>354</v>
      </c>
      <c r="H64" s="343"/>
      <c r="I64" s="343"/>
      <c r="J64" s="343"/>
      <c r="K64" s="343"/>
      <c r="L64" s="343"/>
      <c r="M64" s="343"/>
      <c r="N64" s="318"/>
    </row>
    <row r="65" spans="2:15" ht="15.75" thickBot="1">
      <c r="B65" s="1113" t="str">
        <f>B12</f>
        <v>No.</v>
      </c>
      <c r="C65" s="353"/>
      <c r="D65" s="364" t="s">
        <v>82</v>
      </c>
      <c r="E65" s="388"/>
      <c r="F65" s="388"/>
      <c r="G65" s="343"/>
      <c r="H65" s="343"/>
      <c r="I65" s="347"/>
      <c r="J65" s="343"/>
      <c r="K65" s="343"/>
      <c r="L65" s="343"/>
      <c r="M65" s="343"/>
      <c r="N65" s="318"/>
    </row>
    <row r="66" spans="2:15">
      <c r="B66" s="352">
        <f>+B48+1</f>
        <v>19</v>
      </c>
      <c r="C66" s="353"/>
      <c r="D66" s="396" t="s">
        <v>126</v>
      </c>
      <c r="E66" s="343" t="str">
        <f>"(Worksheet A ln "&amp;'WS A - RB Support'!A23&amp;"."&amp;'WS A - RB Support'!C8&amp;")"</f>
        <v>(Worksheet A ln 14.(b))</v>
      </c>
      <c r="F66" s="343"/>
      <c r="G66" s="361">
        <f>'WS A - RB Support'!C23</f>
        <v>0</v>
      </c>
      <c r="H66" s="361"/>
      <c r="I66" s="347" t="s">
        <v>127</v>
      </c>
      <c r="J66" s="348">
        <v>0</v>
      </c>
      <c r="K66" s="343"/>
      <c r="L66" s="390">
        <f>+J66*G66</f>
        <v>0</v>
      </c>
      <c r="M66" s="343"/>
      <c r="N66" s="318"/>
    </row>
    <row r="67" spans="2:15">
      <c r="B67" s="352">
        <f>+B66+1</f>
        <v>20</v>
      </c>
      <c r="C67" s="353"/>
      <c r="D67" s="396" t="s">
        <v>377</v>
      </c>
      <c r="E67" s="343" t="str">
        <f>"(Worksheet A ln "&amp;'WS A - RB Support'!A23&amp;"."&amp;'WS A - RB Support'!D8&amp;")"</f>
        <v>(Worksheet A ln 14.(c))</v>
      </c>
      <c r="F67" s="343"/>
      <c r="G67" s="390">
        <f>-'WS A - RB Support'!D23</f>
        <v>0</v>
      </c>
      <c r="H67" s="361"/>
      <c r="I67" s="347" t="s">
        <v>127</v>
      </c>
      <c r="J67" s="348">
        <v>0</v>
      </c>
      <c r="K67" s="343"/>
      <c r="L67" s="390">
        <f>+J67*G67</f>
        <v>0</v>
      </c>
      <c r="M67" s="343"/>
      <c r="N67" s="318"/>
    </row>
    <row r="68" spans="2:15">
      <c r="B68" s="352">
        <f t="shared" ref="B68:B74" si="0">+B67+1</f>
        <v>21</v>
      </c>
      <c r="C68" s="405"/>
      <c r="D68" s="1114" t="s">
        <v>128</v>
      </c>
      <c r="E68" s="343" t="str">
        <f>"(Worksheet A ln "&amp;'WS A - RB Support'!A23&amp;"."&amp;'WS A - RB Support'!E8&amp;" &amp; TCOS Ln "&amp;B229&amp;")"</f>
        <v>(Worksheet A ln 14.(d) &amp; TCOS Ln 134)</v>
      </c>
      <c r="F68" s="392"/>
      <c r="G68" s="361">
        <f>'WS A - RB Support'!E23</f>
        <v>2899748615.23</v>
      </c>
      <c r="H68" s="361"/>
      <c r="I68" s="393" t="s">
        <v>129</v>
      </c>
      <c r="J68" s="348" t="s">
        <v>114</v>
      </c>
      <c r="K68" s="394"/>
      <c r="L68" s="390">
        <f>+L229</f>
        <v>2899736542.5807691</v>
      </c>
      <c r="M68" s="394"/>
      <c r="N68" s="318"/>
    </row>
    <row r="69" spans="2:15">
      <c r="B69" s="352">
        <f t="shared" si="0"/>
        <v>22</v>
      </c>
      <c r="C69" s="405"/>
      <c r="D69" s="396" t="s">
        <v>378</v>
      </c>
      <c r="E69" s="343" t="str">
        <f>"(Worksheet A ln "&amp;'WS A - RB Support'!A23&amp;"."&amp;'WS A - RB Support'!F8&amp;")"</f>
        <v>(Worksheet A ln 14.(e))</v>
      </c>
      <c r="F69" s="392"/>
      <c r="G69" s="361">
        <f>-'WS A - RB Support'!F23</f>
        <v>-3119.849999999999</v>
      </c>
      <c r="H69" s="361"/>
      <c r="I69" s="393" t="s">
        <v>120</v>
      </c>
      <c r="J69" s="348">
        <f>L231</f>
        <v>0.99999583665660963</v>
      </c>
      <c r="K69" s="394"/>
      <c r="L69" s="390">
        <f>+G69*J69</f>
        <v>-3119.8370109931225</v>
      </c>
      <c r="M69" s="394"/>
      <c r="N69" s="318"/>
    </row>
    <row r="70" spans="2:15">
      <c r="B70" s="352">
        <f>+B69+1</f>
        <v>23</v>
      </c>
      <c r="C70" s="405"/>
      <c r="D70" s="364" t="s">
        <v>130</v>
      </c>
      <c r="E70" s="343" t="str">
        <f>"(Worksheet A ln "&amp;'WS A - RB Support'!A23&amp;"."&amp;'WS A - RB Support'!G8&amp;")"</f>
        <v>(Worksheet A ln 14.(f))</v>
      </c>
      <c r="F70" s="343"/>
      <c r="G70" s="361">
        <f>'WS A - RB Support'!G23</f>
        <v>5890501513.6146154</v>
      </c>
      <c r="H70" s="361"/>
      <c r="I70" s="347" t="s">
        <v>127</v>
      </c>
      <c r="J70" s="348">
        <v>0</v>
      </c>
      <c r="K70" s="343"/>
      <c r="L70" s="390">
        <f>+J70*G70</f>
        <v>0</v>
      </c>
      <c r="M70" s="343"/>
      <c r="N70" s="318"/>
    </row>
    <row r="71" spans="2:15">
      <c r="B71" s="352">
        <f t="shared" si="0"/>
        <v>24</v>
      </c>
      <c r="C71" s="405"/>
      <c r="D71" s="396" t="s">
        <v>375</v>
      </c>
      <c r="E71" s="343" t="str">
        <f>"(Worksheet A ln "&amp;'WS A - RB Support'!A23&amp;"."&amp;'WS A - RB Support'!H8&amp;")"</f>
        <v>(Worksheet A ln 14.(g))</v>
      </c>
      <c r="F71" s="343"/>
      <c r="G71" s="390">
        <f>-'WS A - RB Support'!H23</f>
        <v>0</v>
      </c>
      <c r="H71" s="361"/>
      <c r="I71" s="347" t="s">
        <v>127</v>
      </c>
      <c r="J71" s="348">
        <v>0</v>
      </c>
      <c r="K71" s="343"/>
      <c r="L71" s="390">
        <f>+G71*J71</f>
        <v>0</v>
      </c>
      <c r="M71" s="343"/>
      <c r="N71" s="318"/>
    </row>
    <row r="72" spans="2:15">
      <c r="B72" s="352">
        <f t="shared" si="0"/>
        <v>25</v>
      </c>
      <c r="C72" s="405"/>
      <c r="D72" s="364" t="s">
        <v>131</v>
      </c>
      <c r="E72" s="343" t="str">
        <f>"(Worksheet A ln "&amp;'WS A - RB Support'!A23&amp;"."&amp;'WS A - RB Support'!I8&amp;")"</f>
        <v>(Worksheet A ln 14.(h))</v>
      </c>
      <c r="F72" s="343"/>
      <c r="G72" s="361">
        <f>'WS A - RB Support'!I23</f>
        <v>687666115.00461531</v>
      </c>
      <c r="H72" s="361"/>
      <c r="I72" s="347" t="s">
        <v>132</v>
      </c>
      <c r="J72" s="348">
        <f>L241</f>
        <v>0.12769052594773625</v>
      </c>
      <c r="K72" s="343"/>
      <c r="L72" s="390">
        <f>+J72*G72</f>
        <v>87808447.901375815</v>
      </c>
      <c r="M72" s="343"/>
      <c r="N72" s="318"/>
    </row>
    <row r="73" spans="2:15">
      <c r="B73" s="352">
        <f t="shared" si="0"/>
        <v>26</v>
      </c>
      <c r="C73" s="405"/>
      <c r="D73" s="396" t="s">
        <v>376</v>
      </c>
      <c r="E73" s="343" t="str">
        <f>"(Worksheet A ln "&amp;'WS A - RB Support'!A23&amp;"."&amp;'WS A - RB Support'!J8&amp;")"</f>
        <v>(Worksheet A ln 14.(i))</v>
      </c>
      <c r="F73" s="343"/>
      <c r="G73" s="390">
        <f>-'WS A - RB Support'!J23</f>
        <v>-691547.51384615363</v>
      </c>
      <c r="H73" s="361"/>
      <c r="I73" s="347" t="s">
        <v>132</v>
      </c>
      <c r="J73" s="348">
        <f>L241</f>
        <v>0.12769052594773625</v>
      </c>
      <c r="K73" s="343"/>
      <c r="L73" s="390">
        <f>+G73*J73</f>
        <v>-88304.065760864774</v>
      </c>
      <c r="M73" s="343"/>
      <c r="N73" s="318"/>
    </row>
    <row r="74" spans="2:15" ht="15.75" thickBot="1">
      <c r="B74" s="352">
        <f t="shared" si="0"/>
        <v>27</v>
      </c>
      <c r="C74" s="405"/>
      <c r="D74" s="364" t="s">
        <v>133</v>
      </c>
      <c r="E74" s="343" t="str">
        <f>"(Worksheet A ln "&amp;'WS A - RB Support'!A23&amp;"."&amp;'WS A - RB Support'!K8&amp;")"</f>
        <v>(Worksheet A ln 14.(j))</v>
      </c>
      <c r="F74" s="343"/>
      <c r="G74" s="397">
        <f>'WS A - RB Support'!K23</f>
        <v>228857815.10230774</v>
      </c>
      <c r="H74" s="361"/>
      <c r="I74" s="347" t="s">
        <v>132</v>
      </c>
      <c r="J74" s="348">
        <f>L241</f>
        <v>0.12769052594773625</v>
      </c>
      <c r="K74" s="343"/>
      <c r="L74" s="491">
        <f>+J74*G74</f>
        <v>29222974.777663451</v>
      </c>
      <c r="M74" s="343"/>
      <c r="N74" s="364"/>
      <c r="O74" s="319"/>
    </row>
    <row r="75" spans="2:15" ht="15.75">
      <c r="B75" s="352">
        <f>+B74+1</f>
        <v>28</v>
      </c>
      <c r="C75" s="405"/>
      <c r="D75" s="364" t="s">
        <v>47</v>
      </c>
      <c r="E75" s="353" t="str">
        <f>"(sum lns "&amp;B66&amp;" to "&amp;B74&amp;")"</f>
        <v>(sum lns 19 to 27)</v>
      </c>
      <c r="F75" s="690"/>
      <c r="G75" s="361">
        <f>SUM(G66:G74)</f>
        <v>9706079391.5876942</v>
      </c>
      <c r="H75" s="361"/>
      <c r="I75" s="492" t="s">
        <v>751</v>
      </c>
      <c r="J75" s="399">
        <f>+L75/G75</f>
        <v>0.3108027886080969</v>
      </c>
      <c r="K75" s="343"/>
      <c r="L75" s="361">
        <f>SUM(L66:L74)</f>
        <v>3016676541.3570361</v>
      </c>
      <c r="M75" s="343"/>
      <c r="N75" s="364"/>
      <c r="O75" s="319"/>
    </row>
    <row r="76" spans="2:15" ht="15.75">
      <c r="B76" s="352"/>
      <c r="C76" s="353"/>
      <c r="D76" s="364"/>
      <c r="E76" s="1116"/>
      <c r="F76" s="690"/>
      <c r="G76" s="361"/>
      <c r="H76" s="361"/>
      <c r="I76" s="1109" t="s">
        <v>216</v>
      </c>
      <c r="J76" s="400">
        <f>+L68/(G70+G68+G71)</f>
        <v>0.32988100453085839</v>
      </c>
      <c r="K76" s="343"/>
      <c r="L76" s="361"/>
      <c r="M76" s="343"/>
      <c r="N76" s="401"/>
      <c r="O76" s="319"/>
    </row>
    <row r="77" spans="2:15">
      <c r="B77" s="352">
        <f>+B75+1</f>
        <v>29</v>
      </c>
      <c r="C77" s="353"/>
      <c r="D77" s="364" t="s">
        <v>24</v>
      </c>
      <c r="E77" s="388"/>
      <c r="F77" s="388"/>
      <c r="G77" s="361"/>
      <c r="H77" s="402"/>
      <c r="I77" s="347"/>
      <c r="J77" s="403"/>
      <c r="K77" s="343"/>
      <c r="L77" s="361"/>
      <c r="M77" s="343"/>
      <c r="N77" s="343"/>
      <c r="O77" s="325"/>
    </row>
    <row r="78" spans="2:15">
      <c r="B78" s="352">
        <f>+B77+1</f>
        <v>30</v>
      </c>
      <c r="C78" s="353"/>
      <c r="D78" s="396" t="str">
        <f>+D66</f>
        <v xml:space="preserve">  Production</v>
      </c>
      <c r="E78" s="343" t="str">
        <f>"(Worksheet A ln "&amp;'WS A - RB Support'!A42&amp;"."&amp;'WS A - RB Support'!C27&amp;")"</f>
        <v>(Worksheet A ln 28.(b))</v>
      </c>
      <c r="F78" s="343"/>
      <c r="G78" s="361">
        <f>'WS A - RB Support'!C42</f>
        <v>0</v>
      </c>
      <c r="H78" s="361"/>
      <c r="I78" s="347" t="s">
        <v>127</v>
      </c>
      <c r="J78" s="348">
        <v>0</v>
      </c>
      <c r="K78" s="343"/>
      <c r="L78" s="390">
        <f>+J78*G78</f>
        <v>0</v>
      </c>
      <c r="M78" s="343"/>
      <c r="N78" s="343"/>
      <c r="O78" s="325"/>
    </row>
    <row r="79" spans="2:15">
      <c r="B79" s="352">
        <f t="shared" ref="B79:B87" si="1">+B78+1</f>
        <v>31</v>
      </c>
      <c r="C79" s="353"/>
      <c r="D79" s="396" t="s">
        <v>377</v>
      </c>
      <c r="E79" s="343" t="str">
        <f>"(Worksheet A ln "&amp;'WS A - RB Support'!A42&amp;"."&amp;'WS A - RB Support'!D27&amp;")"</f>
        <v>(Worksheet A ln 28.(c))</v>
      </c>
      <c r="F79" s="343"/>
      <c r="G79" s="390">
        <f>-'WS A - RB Support'!D42</f>
        <v>0</v>
      </c>
      <c r="H79" s="361"/>
      <c r="I79" s="347" t="s">
        <v>127</v>
      </c>
      <c r="J79" s="348">
        <v>0</v>
      </c>
      <c r="K79" s="343"/>
      <c r="L79" s="390">
        <f>+J79*G79</f>
        <v>0</v>
      </c>
      <c r="M79" s="343"/>
      <c r="N79" s="343"/>
      <c r="O79" s="325"/>
    </row>
    <row r="80" spans="2:15" ht="15.75">
      <c r="B80" s="352">
        <f t="shared" si="1"/>
        <v>32</v>
      </c>
      <c r="C80" s="405"/>
      <c r="D80" s="1114" t="str">
        <f>D68</f>
        <v xml:space="preserve">  Transmission</v>
      </c>
      <c r="E80" s="343" t="str">
        <f>"(Worksheet A ln "&amp;'WS A - RB Support'!A42&amp;"."&amp;'WS A - RB Support'!E27&amp;" &amp; "&amp;"ln "&amp;'WS A - RB Support'!A64&amp;"."&amp;'WS A - RB Support'!D47&amp;")"</f>
        <v>(Worksheet A ln 28.(d) &amp; ln 43.(c))</v>
      </c>
      <c r="F80" s="392"/>
      <c r="G80" s="395">
        <f>'WS A - RB Support'!E42</f>
        <v>888403860.4869231</v>
      </c>
      <c r="H80" s="361"/>
      <c r="I80" s="1110" t="s">
        <v>27</v>
      </c>
      <c r="J80" s="404">
        <f>L80/G80</f>
        <v>1</v>
      </c>
      <c r="K80" s="394"/>
      <c r="L80" s="390">
        <f>'WS A - RB Support'!D64</f>
        <v>888403860.4869231</v>
      </c>
      <c r="M80" s="394"/>
      <c r="N80" s="343"/>
      <c r="O80" s="325"/>
    </row>
    <row r="81" spans="2:15" ht="15.75">
      <c r="B81" s="352">
        <f t="shared" si="1"/>
        <v>33</v>
      </c>
      <c r="C81" s="405"/>
      <c r="D81" s="396" t="s">
        <v>378</v>
      </c>
      <c r="E81" s="343" t="str">
        <f>"(Worksheet A ln "&amp;'WS A - RB Support'!A42&amp;"."&amp;'WS A - RB Support'!F27&amp;")"</f>
        <v>(Worksheet A ln 28.(e))</v>
      </c>
      <c r="F81" s="392"/>
      <c r="G81" s="390">
        <f>-'WS A - RB Support'!F42</f>
        <v>-3119.849999999999</v>
      </c>
      <c r="H81" s="361"/>
      <c r="I81" s="1110" t="s">
        <v>27</v>
      </c>
      <c r="J81" s="348">
        <f>+J80</f>
        <v>1</v>
      </c>
      <c r="K81" s="394"/>
      <c r="L81" s="390">
        <f t="shared" ref="L81:L86" si="2">+J81*G81</f>
        <v>-3119.849999999999</v>
      </c>
      <c r="M81" s="394"/>
      <c r="N81" s="343"/>
      <c r="O81" s="325"/>
    </row>
    <row r="82" spans="2:15">
      <c r="B82" s="352">
        <f>+B81+1</f>
        <v>34</v>
      </c>
      <c r="C82" s="405"/>
      <c r="D82" s="364" t="str">
        <f>+D70</f>
        <v xml:space="preserve">  Distribution</v>
      </c>
      <c r="E82" s="343" t="str">
        <f>"(Worksheet A ln "&amp;'WS A - RB Support'!A42&amp;"."&amp;'WS A - RB Support'!G27&amp;")"</f>
        <v>(Worksheet A ln 28.(f))</v>
      </c>
      <c r="F82" s="343"/>
      <c r="G82" s="361">
        <f>'WS A - RB Support'!G42</f>
        <v>1749926952.685385</v>
      </c>
      <c r="H82" s="361"/>
      <c r="I82" s="347" t="s">
        <v>127</v>
      </c>
      <c r="J82" s="348">
        <v>0</v>
      </c>
      <c r="K82" s="343"/>
      <c r="L82" s="390">
        <f t="shared" si="2"/>
        <v>0</v>
      </c>
      <c r="M82" s="343"/>
      <c r="N82" s="343"/>
      <c r="O82" s="325"/>
    </row>
    <row r="83" spans="2:15">
      <c r="B83" s="352">
        <f t="shared" si="1"/>
        <v>35</v>
      </c>
      <c r="C83" s="405"/>
      <c r="D83" s="396" t="s">
        <v>375</v>
      </c>
      <c r="E83" s="343" t="str">
        <f>"(Worksheet A ln "&amp;'WS A - RB Support'!A42&amp;"."&amp;'WS A - RB Support'!H27&amp;")"</f>
        <v>(Worksheet A ln 28.(g))</v>
      </c>
      <c r="F83" s="343"/>
      <c r="G83" s="390">
        <f>-'WS A - RB Support'!H42</f>
        <v>0</v>
      </c>
      <c r="H83" s="361"/>
      <c r="I83" s="347" t="s">
        <v>127</v>
      </c>
      <c r="J83" s="348">
        <v>0</v>
      </c>
      <c r="K83" s="343"/>
      <c r="L83" s="390">
        <f t="shared" si="2"/>
        <v>0</v>
      </c>
      <c r="M83" s="343"/>
      <c r="N83" s="343"/>
      <c r="O83" s="325"/>
    </row>
    <row r="84" spans="2:15">
      <c r="B84" s="352">
        <f t="shared" si="1"/>
        <v>36</v>
      </c>
      <c r="C84" s="405"/>
      <c r="D84" s="364" t="str">
        <f>+D72</f>
        <v xml:space="preserve">  General Plant   </v>
      </c>
      <c r="E84" s="343" t="str">
        <f>"(Worksheet A ln "&amp;'WS A - RB Support'!A42&amp;"."&amp;'WS A - RB Support'!I27&amp;")"</f>
        <v>(Worksheet A ln 28.(h))</v>
      </c>
      <c r="F84" s="343"/>
      <c r="G84" s="346">
        <f>'WS A - RB Support'!I42</f>
        <v>115423183.48846152</v>
      </c>
      <c r="H84" s="361"/>
      <c r="I84" s="347" t="s">
        <v>132</v>
      </c>
      <c r="J84" s="348">
        <f>L241</f>
        <v>0.12769052594773625</v>
      </c>
      <c r="K84" s="343"/>
      <c r="L84" s="390">
        <f t="shared" si="2"/>
        <v>14738447.006203718</v>
      </c>
      <c r="M84" s="343"/>
      <c r="N84" s="343"/>
      <c r="O84" s="325"/>
    </row>
    <row r="85" spans="2:15">
      <c r="B85" s="352">
        <f t="shared" si="1"/>
        <v>37</v>
      </c>
      <c r="C85" s="405"/>
      <c r="D85" s="396" t="s">
        <v>376</v>
      </c>
      <c r="E85" s="343" t="str">
        <f>"(Worksheet A ln "&amp;'WS A - RB Support'!A42&amp;"."&amp;'WS A - RB Support'!J27&amp;")"</f>
        <v>(Worksheet A ln 28.(i))</v>
      </c>
      <c r="F85" s="343"/>
      <c r="G85" s="390">
        <f>-'WS A - RB Support'!J42</f>
        <v>-340950.56692307693</v>
      </c>
      <c r="H85" s="361"/>
      <c r="I85" s="347" t="s">
        <v>132</v>
      </c>
      <c r="J85" s="348">
        <f>L241</f>
        <v>0.12769052594773625</v>
      </c>
      <c r="K85" s="343"/>
      <c r="L85" s="390">
        <f t="shared" si="2"/>
        <v>-43536.157212586542</v>
      </c>
      <c r="M85" s="343"/>
      <c r="N85" s="343"/>
      <c r="O85" s="325"/>
    </row>
    <row r="86" spans="2:15" ht="15.75" thickBot="1">
      <c r="B86" s="352">
        <f t="shared" si="1"/>
        <v>38</v>
      </c>
      <c r="C86" s="405"/>
      <c r="D86" s="364" t="str">
        <f>+D74</f>
        <v xml:space="preserve">  Intangible Plant</v>
      </c>
      <c r="E86" s="343" t="str">
        <f>"(Worksheet A ln "&amp;'WS A - RB Support'!A42&amp;"."&amp;'WS A - RB Support'!K27&amp;")"</f>
        <v>(Worksheet A ln 28.(j))</v>
      </c>
      <c r="F86" s="343"/>
      <c r="G86" s="397">
        <f>'WS A - RB Support'!K42</f>
        <v>108936967.09615384</v>
      </c>
      <c r="H86" s="361"/>
      <c r="I86" s="347" t="s">
        <v>132</v>
      </c>
      <c r="J86" s="348">
        <f>L241</f>
        <v>0.12769052594773625</v>
      </c>
      <c r="K86" s="343"/>
      <c r="L86" s="491">
        <f t="shared" si="2"/>
        <v>13910218.623659123</v>
      </c>
      <c r="M86" s="343"/>
      <c r="N86" s="343"/>
      <c r="O86" s="325"/>
    </row>
    <row r="87" spans="2:15">
      <c r="B87" s="352">
        <f t="shared" si="1"/>
        <v>39</v>
      </c>
      <c r="C87" s="405"/>
      <c r="D87" s="364" t="s">
        <v>46</v>
      </c>
      <c r="E87" s="1094" t="str">
        <f>"(sum lns "&amp;B78&amp;" to "&amp;B86&amp;")"</f>
        <v>(sum lns 30 to 38)</v>
      </c>
      <c r="F87" s="688"/>
      <c r="G87" s="361">
        <f>SUM(G78:G86)</f>
        <v>2862346893.3400002</v>
      </c>
      <c r="H87" s="361"/>
      <c r="I87" s="347"/>
      <c r="J87" s="343"/>
      <c r="K87" s="361"/>
      <c r="L87" s="361">
        <f>SUM(L78:L86)</f>
        <v>917005870.10957336</v>
      </c>
      <c r="M87" s="343"/>
      <c r="N87" s="343"/>
      <c r="O87" s="325"/>
    </row>
    <row r="88" spans="2:15">
      <c r="B88" s="352"/>
      <c r="C88" s="353"/>
      <c r="D88" s="318"/>
      <c r="E88" s="1117"/>
      <c r="F88" s="688"/>
      <c r="G88" s="361"/>
      <c r="H88" s="361"/>
      <c r="I88" s="347"/>
      <c r="J88" s="406"/>
      <c r="K88" s="343"/>
      <c r="L88" s="361"/>
      <c r="M88" s="343"/>
      <c r="N88" s="343"/>
      <c r="O88" s="325"/>
    </row>
    <row r="89" spans="2:15">
      <c r="B89" s="352">
        <f>+B87+1</f>
        <v>40</v>
      </c>
      <c r="C89" s="353"/>
      <c r="D89" s="364" t="s">
        <v>83</v>
      </c>
      <c r="E89" s="388"/>
      <c r="F89" s="388"/>
      <c r="G89" s="361"/>
      <c r="H89" s="361"/>
      <c r="I89" s="347"/>
      <c r="J89" s="343"/>
      <c r="K89" s="343"/>
      <c r="L89" s="361"/>
      <c r="M89" s="343"/>
      <c r="N89" s="343"/>
      <c r="O89" s="325"/>
    </row>
    <row r="90" spans="2:15">
      <c r="B90" s="352">
        <f t="shared" ref="B90:B95" si="3">+B89+1</f>
        <v>41</v>
      </c>
      <c r="C90" s="405"/>
      <c r="D90" s="396" t="str">
        <f>+D78</f>
        <v xml:space="preserve">  Production</v>
      </c>
      <c r="E90" s="343" t="str">
        <f>" (ln "&amp;B66&amp;" + ln "&amp;B67&amp;" - ln "&amp;B78&amp;" - ln "&amp;B79&amp;")"</f>
        <v xml:space="preserve"> (ln 19 + ln 20 - ln 30 - ln 31)</v>
      </c>
      <c r="F90" s="343"/>
      <c r="G90" s="361">
        <f>G66+G67-G78-G79</f>
        <v>0</v>
      </c>
      <c r="H90" s="361"/>
      <c r="I90" s="347"/>
      <c r="J90" s="407"/>
      <c r="K90" s="343"/>
      <c r="L90" s="361">
        <f>L66+L67-L78-L79</f>
        <v>0</v>
      </c>
      <c r="M90" s="343"/>
      <c r="N90" s="343"/>
      <c r="O90" s="325"/>
    </row>
    <row r="91" spans="2:15">
      <c r="B91" s="352">
        <f t="shared" si="3"/>
        <v>42</v>
      </c>
      <c r="C91" s="405"/>
      <c r="D91" s="396" t="str">
        <f>+D80</f>
        <v xml:space="preserve">  Transmission</v>
      </c>
      <c r="E91" s="343" t="str">
        <f>" (ln "&amp;B68&amp;" + ln "&amp;B69&amp;" - ln "&amp;B80&amp;" - ln "&amp;B81&amp;")"</f>
        <v xml:space="preserve"> (ln 21 + ln 22 - ln 32 - ln 33)</v>
      </c>
      <c r="F91" s="343"/>
      <c r="G91" s="361">
        <f>+G68+G69-G80-G81</f>
        <v>2011344754.7430768</v>
      </c>
      <c r="H91" s="361"/>
      <c r="I91" s="347"/>
      <c r="J91" s="404"/>
      <c r="K91" s="343"/>
      <c r="L91" s="361">
        <f>+L68+L69-L80-L81</f>
        <v>2011332682.1068349</v>
      </c>
      <c r="M91" s="343"/>
      <c r="N91" s="343"/>
      <c r="O91" s="325"/>
    </row>
    <row r="92" spans="2:15">
      <c r="B92" s="352">
        <f>+B91+1</f>
        <v>43</v>
      </c>
      <c r="C92" s="405"/>
      <c r="D92" s="396" t="str">
        <f>+D82</f>
        <v xml:space="preserve">  Distribution</v>
      </c>
      <c r="E92" s="343" t="str">
        <f>" (ln "&amp;B70&amp;" + ln "&amp;B71&amp;" - ln "&amp;B82&amp;" - ln "&amp;B83&amp;")"</f>
        <v xml:space="preserve"> (ln 23 + ln 24 - ln 34 - ln 35)</v>
      </c>
      <c r="F92" s="343"/>
      <c r="G92" s="361">
        <f>+G70+G71-G82-G83</f>
        <v>4140574560.9292307</v>
      </c>
      <c r="H92" s="361"/>
      <c r="I92" s="347"/>
      <c r="J92" s="406"/>
      <c r="K92" s="343"/>
      <c r="L92" s="361">
        <f>+L70+L71-L82-L83</f>
        <v>0</v>
      </c>
      <c r="M92" s="343"/>
      <c r="N92" s="318"/>
      <c r="O92" s="325"/>
    </row>
    <row r="93" spans="2:15">
      <c r="B93" s="352">
        <f t="shared" si="3"/>
        <v>44</v>
      </c>
      <c r="C93" s="405"/>
      <c r="D93" s="396" t="str">
        <f>+D84</f>
        <v xml:space="preserve">  General Plant   </v>
      </c>
      <c r="E93" s="343" t="str">
        <f>" (ln "&amp;B72&amp;" + ln "&amp;B73&amp;" - ln "&amp;B84&amp;" - ln "&amp;B85&amp;")"</f>
        <v xml:space="preserve"> (ln 25 + ln 26 - ln 36 - ln 37)</v>
      </c>
      <c r="F93" s="343"/>
      <c r="G93" s="361">
        <f>+G72+G73-G84-G85</f>
        <v>571892334.56923068</v>
      </c>
      <c r="H93" s="361"/>
      <c r="I93" s="347"/>
      <c r="J93" s="406"/>
      <c r="K93" s="343"/>
      <c r="L93" s="361">
        <f>+L72+L73-L84-L85</f>
        <v>73025232.986623824</v>
      </c>
      <c r="M93" s="343"/>
      <c r="N93" s="343"/>
      <c r="O93" s="325"/>
    </row>
    <row r="94" spans="2:15" ht="15.75" thickBot="1">
      <c r="B94" s="352">
        <f t="shared" si="3"/>
        <v>45</v>
      </c>
      <c r="C94" s="405"/>
      <c r="D94" s="396" t="str">
        <f>+D86</f>
        <v xml:space="preserve">  Intangible Plant</v>
      </c>
      <c r="E94" s="343" t="str">
        <f>" (ln "&amp;B74&amp;" - ln "&amp;B86&amp;")"</f>
        <v xml:space="preserve"> (ln 27 - ln 38)</v>
      </c>
      <c r="F94" s="343"/>
      <c r="G94" s="397">
        <f>+G74-G86</f>
        <v>119920848.0061539</v>
      </c>
      <c r="H94" s="361"/>
      <c r="I94" s="347"/>
      <c r="J94" s="406"/>
      <c r="K94" s="343"/>
      <c r="L94" s="397">
        <f>+L74-L86</f>
        <v>15312756.154004328</v>
      </c>
      <c r="M94" s="343"/>
      <c r="N94" s="343"/>
      <c r="O94" s="325"/>
    </row>
    <row r="95" spans="2:15" ht="15.75">
      <c r="B95" s="352">
        <f t="shared" si="3"/>
        <v>46</v>
      </c>
      <c r="C95" s="405"/>
      <c r="D95" s="396" t="s">
        <v>45</v>
      </c>
      <c r="E95" s="396" t="str">
        <f>"(sum lns "&amp;B90&amp;" to "&amp;B94&amp;")"</f>
        <v>(sum lns 41 to 45)</v>
      </c>
      <c r="F95" s="343"/>
      <c r="G95" s="361">
        <f>SUM(G90:G94)</f>
        <v>6843732498.2476931</v>
      </c>
      <c r="H95" s="361"/>
      <c r="I95" s="492" t="s">
        <v>752</v>
      </c>
      <c r="J95" s="399">
        <f>+L95/G95</f>
        <v>0.30680197856726199</v>
      </c>
      <c r="K95" s="343"/>
      <c r="L95" s="361">
        <f>SUM(L90:L94)</f>
        <v>2099670671.247463</v>
      </c>
      <c r="M95" s="343"/>
      <c r="N95" s="343"/>
      <c r="O95" s="325"/>
    </row>
    <row r="96" spans="2:15">
      <c r="B96" s="352"/>
      <c r="C96" s="353"/>
      <c r="D96" s="364"/>
      <c r="E96" s="343"/>
      <c r="F96" s="343"/>
      <c r="G96" s="361"/>
      <c r="H96" s="361"/>
      <c r="I96" s="423"/>
      <c r="J96" s="411"/>
      <c r="K96" s="343"/>
      <c r="L96" s="361"/>
      <c r="M96" s="343"/>
      <c r="N96" s="343"/>
      <c r="O96" s="325"/>
    </row>
    <row r="97" spans="2:15">
      <c r="B97" s="352"/>
      <c r="C97" s="353"/>
      <c r="D97" s="318"/>
      <c r="E97" s="318"/>
      <c r="F97" s="318"/>
      <c r="G97" s="576"/>
      <c r="H97" s="576"/>
      <c r="I97" s="1116"/>
      <c r="J97" s="576"/>
      <c r="K97" s="576"/>
      <c r="L97" s="576"/>
      <c r="M97" s="412"/>
      <c r="N97" s="343"/>
      <c r="O97" s="325"/>
    </row>
    <row r="98" spans="2:15">
      <c r="B98" s="352">
        <f>+B95+1</f>
        <v>47</v>
      </c>
      <c r="C98" s="353"/>
      <c r="D98" s="364" t="s">
        <v>326</v>
      </c>
      <c r="E98" s="343" t="s">
        <v>303</v>
      </c>
      <c r="F98" s="347"/>
      <c r="G98" s="576"/>
      <c r="H98" s="576"/>
      <c r="I98" s="1116"/>
      <c r="J98" s="576"/>
      <c r="K98" s="576"/>
      <c r="L98" s="576"/>
      <c r="M98" s="412"/>
      <c r="N98" s="343"/>
      <c r="O98" s="325"/>
    </row>
    <row r="99" spans="2:15">
      <c r="B99" s="352">
        <f t="shared" ref="B99:B104" si="4">+B98+1</f>
        <v>48</v>
      </c>
      <c r="C99" s="405"/>
      <c r="D99" s="396" t="s">
        <v>193</v>
      </c>
      <c r="E99" s="343" t="s">
        <v>536</v>
      </c>
      <c r="F99" s="343"/>
      <c r="G99" s="361">
        <f>-'WS B ADIT &amp; ITC'!I17</f>
        <v>0</v>
      </c>
      <c r="H99" s="361"/>
      <c r="I99" s="347" t="s">
        <v>127</v>
      </c>
      <c r="J99" s="348"/>
      <c r="K99" s="343"/>
      <c r="L99" s="361">
        <f>'WS B ADIT &amp; ITC'!I20</f>
        <v>0</v>
      </c>
      <c r="M99" s="343"/>
      <c r="N99" s="343"/>
      <c r="O99" s="325"/>
    </row>
    <row r="100" spans="2:15">
      <c r="B100" s="352">
        <f t="shared" si="4"/>
        <v>49</v>
      </c>
      <c r="C100" s="405"/>
      <c r="D100" s="396" t="s">
        <v>194</v>
      </c>
      <c r="E100" s="343" t="s">
        <v>537</v>
      </c>
      <c r="F100" s="343"/>
      <c r="G100" s="361">
        <f>-'WS B ADIT &amp; ITC'!I25</f>
        <v>-1399513976.2600002</v>
      </c>
      <c r="H100" s="361"/>
      <c r="I100" s="347" t="s">
        <v>129</v>
      </c>
      <c r="J100" s="348"/>
      <c r="K100" s="343"/>
      <c r="L100" s="361">
        <f>-'WS B ADIT &amp; ITC'!I28</f>
        <v>-451155746.61500013</v>
      </c>
      <c r="M100" s="343"/>
      <c r="N100" s="343"/>
      <c r="O100" s="325"/>
    </row>
    <row r="101" spans="2:15">
      <c r="B101" s="352">
        <f t="shared" si="4"/>
        <v>50</v>
      </c>
      <c r="C101" s="405"/>
      <c r="D101" s="396" t="s">
        <v>195</v>
      </c>
      <c r="E101" s="343" t="s">
        <v>538</v>
      </c>
      <c r="F101" s="343"/>
      <c r="G101" s="361">
        <f>-'WS B ADIT &amp; ITC'!I33</f>
        <v>-152864041.14499998</v>
      </c>
      <c r="H101" s="361"/>
      <c r="I101" s="347" t="s">
        <v>129</v>
      </c>
      <c r="J101" s="348"/>
      <c r="K101" s="343"/>
      <c r="L101" s="361">
        <f>-'WS B ADIT &amp; ITC'!I36</f>
        <v>-29228288.36499998</v>
      </c>
      <c r="M101" s="343"/>
      <c r="N101" s="343"/>
      <c r="O101" s="325"/>
    </row>
    <row r="102" spans="2:15">
      <c r="B102" s="352">
        <f t="shared" si="4"/>
        <v>51</v>
      </c>
      <c r="C102" s="405"/>
      <c r="D102" s="396" t="s">
        <v>196</v>
      </c>
      <c r="E102" s="343" t="s">
        <v>539</v>
      </c>
      <c r="F102" s="343"/>
      <c r="G102" s="361">
        <f>'WS B ADIT &amp; ITC'!I41</f>
        <v>86258320.349999994</v>
      </c>
      <c r="H102" s="361"/>
      <c r="I102" s="347" t="s">
        <v>129</v>
      </c>
      <c r="J102" s="348"/>
      <c r="K102" s="343"/>
      <c r="L102" s="361">
        <f>'WS B ADIT &amp; ITC'!I44</f>
        <v>16206551.694999993</v>
      </c>
      <c r="M102" s="343"/>
      <c r="N102" s="343"/>
      <c r="O102" s="325"/>
    </row>
    <row r="103" spans="2:15" ht="15.75" thickBot="1">
      <c r="B103" s="352">
        <f t="shared" si="4"/>
        <v>52</v>
      </c>
      <c r="C103" s="405"/>
      <c r="D103" s="477" t="s">
        <v>134</v>
      </c>
      <c r="E103" s="343" t="s">
        <v>540</v>
      </c>
      <c r="F103" s="318"/>
      <c r="G103" s="397">
        <f>-'WS B ADIT &amp; ITC'!I51</f>
        <v>-512</v>
      </c>
      <c r="H103" s="361"/>
      <c r="I103" s="347" t="s">
        <v>129</v>
      </c>
      <c r="J103" s="348"/>
      <c r="K103" s="343"/>
      <c r="L103" s="397">
        <f>-'WS B ADIT &amp; ITC'!I52</f>
        <v>0</v>
      </c>
      <c r="M103" s="413"/>
      <c r="N103" s="343"/>
      <c r="O103" s="325"/>
    </row>
    <row r="104" spans="2:15">
      <c r="B104" s="352">
        <f t="shared" si="4"/>
        <v>53</v>
      </c>
      <c r="C104" s="405"/>
      <c r="D104" s="396" t="s">
        <v>92</v>
      </c>
      <c r="E104" s="396" t="str">
        <f>"(sum lns "&amp;B99&amp;" to "&amp;B103&amp;")"</f>
        <v>(sum lns 48 to 52)</v>
      </c>
      <c r="F104" s="343"/>
      <c r="G104" s="361">
        <f>SUM(G99:G103)</f>
        <v>-1466120209.0550003</v>
      </c>
      <c r="H104" s="576"/>
      <c r="I104" s="347"/>
      <c r="J104" s="415"/>
      <c r="K104" s="343"/>
      <c r="L104" s="361">
        <f>SUM(L99:L103)</f>
        <v>-464177483.28500015</v>
      </c>
      <c r="M104" s="343"/>
      <c r="N104" s="416"/>
    </row>
    <row r="105" spans="2:15">
      <c r="B105" s="352"/>
      <c r="C105" s="353"/>
      <c r="D105" s="396"/>
      <c r="E105" s="343"/>
      <c r="F105" s="343"/>
      <c r="G105" s="361"/>
      <c r="H105" s="576"/>
      <c r="I105" s="347"/>
      <c r="J105" s="406"/>
      <c r="K105" s="343"/>
      <c r="L105" s="361"/>
      <c r="M105" s="343"/>
      <c r="N105" s="318"/>
    </row>
    <row r="106" spans="2:15">
      <c r="B106" s="352">
        <f>+B104+1</f>
        <v>54</v>
      </c>
      <c r="C106" s="353"/>
      <c r="D106" s="396" t="s">
        <v>205</v>
      </c>
      <c r="E106" s="343" t="str">
        <f>"(Worksheet A ln "&amp;'WS A - RB Support'!A69&amp;"."&amp;'WS A - RB Support'!F68&amp;" &amp; "&amp;"ln "&amp;'WS A - RB Support'!A71&amp;"."&amp;'WS A - RB Support'!F68&amp;")"</f>
        <v>(Worksheet A ln 44.(e) &amp; ln 45.(e))</v>
      </c>
      <c r="F106" s="343"/>
      <c r="G106" s="361">
        <f>'WS A - RB Support'!F69</f>
        <v>4815956.5</v>
      </c>
      <c r="H106" s="576"/>
      <c r="I106" s="347" t="s">
        <v>129</v>
      </c>
      <c r="J106" s="348"/>
      <c r="K106" s="343"/>
      <c r="L106" s="361">
        <f>'WS A - RB Support'!F71</f>
        <v>2524437.2599999998</v>
      </c>
      <c r="M106" s="343"/>
      <c r="N106" s="318"/>
    </row>
    <row r="107" spans="2:15">
      <c r="B107" s="352"/>
      <c r="C107" s="353"/>
      <c r="D107" s="396"/>
      <c r="E107" s="343"/>
      <c r="F107" s="343"/>
      <c r="G107" s="361"/>
      <c r="H107" s="576"/>
      <c r="I107" s="347"/>
      <c r="J107" s="348"/>
      <c r="K107" s="343"/>
      <c r="L107" s="361"/>
      <c r="M107" s="343"/>
      <c r="N107" s="318"/>
    </row>
    <row r="108" spans="2:15">
      <c r="B108" s="352">
        <f>+B106+1</f>
        <v>55</v>
      </c>
      <c r="C108" s="353"/>
      <c r="D108" s="396" t="s">
        <v>327</v>
      </c>
      <c r="E108" s="343" t="str">
        <f>"(Worksheet A ln "&amp;'WS A - RB Support'!A80&amp;"."&amp;'WS A - RB Support'!F68&amp;")"</f>
        <v>(Worksheet A ln 51.(e))</v>
      </c>
      <c r="F108" s="343"/>
      <c r="G108" s="361">
        <f>'WS A - RB Support'!F80</f>
        <v>0</v>
      </c>
      <c r="H108" s="576"/>
      <c r="I108" s="347" t="s">
        <v>129</v>
      </c>
      <c r="J108" s="343"/>
      <c r="K108" s="343"/>
      <c r="L108" s="361">
        <f>+G108</f>
        <v>0</v>
      </c>
      <c r="M108" s="343"/>
      <c r="N108" s="318"/>
    </row>
    <row r="109" spans="2:15">
      <c r="B109" s="352"/>
      <c r="C109" s="353"/>
      <c r="D109" s="396"/>
      <c r="E109" s="343"/>
      <c r="F109" s="343"/>
      <c r="G109" s="361"/>
      <c r="H109" s="576"/>
      <c r="I109" s="347"/>
      <c r="J109" s="343"/>
      <c r="K109" s="343"/>
      <c r="L109" s="361"/>
      <c r="M109" s="343"/>
      <c r="N109" s="318"/>
    </row>
    <row r="110" spans="2:15" ht="14.25" customHeight="1">
      <c r="B110" s="352">
        <f>+B108+1</f>
        <v>56</v>
      </c>
      <c r="C110" s="405"/>
      <c r="D110" s="472" t="s">
        <v>740</v>
      </c>
      <c r="E110" s="343" t="str">
        <f>"(Worksheet A ln "&amp;'WS A - RB Support'!A88&amp;"."&amp;'WS A - RB Support'!F68&amp;")"</f>
        <v>(Worksheet A ln 54.(e))</v>
      </c>
      <c r="F110" s="343"/>
      <c r="G110" s="346">
        <f>-'WS A - RB Support'!F88</f>
        <v>-488954.97400000005</v>
      </c>
      <c r="H110" s="361"/>
      <c r="I110" s="347" t="s">
        <v>132</v>
      </c>
      <c r="J110" s="348">
        <f>L241</f>
        <v>0.12769052594773625</v>
      </c>
      <c r="K110" s="343"/>
      <c r="L110" s="346">
        <f>G110*J110</f>
        <v>-62434.917794821711</v>
      </c>
      <c r="M110" s="343"/>
      <c r="N110" s="318"/>
    </row>
    <row r="111" spans="2:15">
      <c r="B111" s="352"/>
      <c r="C111" s="353"/>
      <c r="D111" s="396"/>
      <c r="E111" s="343"/>
      <c r="F111" s="343"/>
      <c r="G111" s="361"/>
      <c r="H111" s="576"/>
      <c r="I111" s="347"/>
      <c r="J111" s="343"/>
      <c r="K111" s="343"/>
      <c r="L111" s="361"/>
      <c r="M111" s="343"/>
      <c r="N111" s="318"/>
    </row>
    <row r="112" spans="2:15">
      <c r="B112" s="352">
        <f>+B110+1</f>
        <v>57</v>
      </c>
      <c r="C112" s="353"/>
      <c r="D112" s="396" t="s">
        <v>93</v>
      </c>
      <c r="E112" s="343" t="s">
        <v>498</v>
      </c>
      <c r="F112" s="343"/>
      <c r="G112" s="361"/>
      <c r="H112" s="576"/>
      <c r="I112" s="347"/>
      <c r="J112" s="343"/>
      <c r="K112" s="343"/>
      <c r="L112" s="361"/>
      <c r="M112" s="343"/>
      <c r="N112" s="318"/>
    </row>
    <row r="113" spans="2:14">
      <c r="B113" s="352">
        <f t="shared" ref="B113:B120" si="5">+B112+1</f>
        <v>58</v>
      </c>
      <c r="C113" s="405"/>
      <c r="D113" s="396" t="s">
        <v>204</v>
      </c>
      <c r="E113" s="318" t="str">
        <f>"(1/8 * ln "&amp;B149&amp;")"</f>
        <v>(1/8 * ln 78)</v>
      </c>
      <c r="F113" s="318"/>
      <c r="G113" s="361">
        <f>+G149/8</f>
        <v>5582575.8687500032</v>
      </c>
      <c r="H113" s="343"/>
      <c r="I113" s="347"/>
      <c r="J113" s="406"/>
      <c r="K113" s="343"/>
      <c r="L113" s="361">
        <f>+L149/8</f>
        <v>5582552.6265696585</v>
      </c>
      <c r="M113" s="338"/>
      <c r="N113" s="318"/>
    </row>
    <row r="114" spans="2:14">
      <c r="B114" s="352">
        <f t="shared" si="5"/>
        <v>59</v>
      </c>
      <c r="C114" s="405"/>
      <c r="D114" s="396" t="s">
        <v>335</v>
      </c>
      <c r="E114" s="343" t="s">
        <v>541</v>
      </c>
      <c r="F114" s="343"/>
      <c r="G114" s="361">
        <f>'WS C  - Working Capital'!I17</f>
        <v>2431122</v>
      </c>
      <c r="H114" s="576"/>
      <c r="I114" s="347" t="s">
        <v>120</v>
      </c>
      <c r="J114" s="348">
        <f>L231</f>
        <v>0.99999583665660963</v>
      </c>
      <c r="K114" s="343"/>
      <c r="L114" s="361">
        <f>+J114*G114</f>
        <v>2431111.8784042899</v>
      </c>
      <c r="M114" s="343"/>
      <c r="N114" s="318"/>
    </row>
    <row r="115" spans="2:14">
      <c r="B115" s="352">
        <f t="shared" si="5"/>
        <v>60</v>
      </c>
      <c r="C115" s="405"/>
      <c r="D115" s="396" t="s">
        <v>336</v>
      </c>
      <c r="E115" s="343" t="s">
        <v>542</v>
      </c>
      <c r="F115" s="343"/>
      <c r="G115" s="361">
        <f>'WS C  - Working Capital'!I19</f>
        <v>219320</v>
      </c>
      <c r="H115" s="576"/>
      <c r="I115" s="347" t="s">
        <v>132</v>
      </c>
      <c r="J115" s="348">
        <f>L241</f>
        <v>0.12769052594773625</v>
      </c>
      <c r="K115" s="343"/>
      <c r="L115" s="361">
        <f>+J115*G115</f>
        <v>28005.086150857514</v>
      </c>
      <c r="M115" s="343"/>
      <c r="N115" s="318"/>
    </row>
    <row r="116" spans="2:14">
      <c r="B116" s="352">
        <f t="shared" si="5"/>
        <v>61</v>
      </c>
      <c r="C116" s="405"/>
      <c r="D116" s="396" t="s">
        <v>529</v>
      </c>
      <c r="E116" s="343" t="s">
        <v>543</v>
      </c>
      <c r="F116" s="343"/>
      <c r="G116" s="361">
        <f>'WS C  - Working Capital'!I21</f>
        <v>0</v>
      </c>
      <c r="H116" s="576"/>
      <c r="I116" s="347" t="s">
        <v>751</v>
      </c>
      <c r="J116" s="348">
        <f>J75</f>
        <v>0.3108027886080969</v>
      </c>
      <c r="K116" s="343"/>
      <c r="L116" s="361">
        <f>+J116*G116</f>
        <v>0</v>
      </c>
      <c r="M116" s="343"/>
      <c r="N116" s="318"/>
    </row>
    <row r="117" spans="2:14">
      <c r="B117" s="352">
        <f t="shared" si="5"/>
        <v>62</v>
      </c>
      <c r="C117" s="405"/>
      <c r="D117" s="396" t="s">
        <v>208</v>
      </c>
      <c r="E117" s="343" t="s">
        <v>572</v>
      </c>
      <c r="F117" s="343"/>
      <c r="G117" s="361">
        <f>'WS C  - Working Capital'!J31</f>
        <v>251474254.99000001</v>
      </c>
      <c r="H117" s="576"/>
      <c r="I117" s="347" t="s">
        <v>132</v>
      </c>
      <c r="J117" s="348">
        <f>L241</f>
        <v>0.12769052594773625</v>
      </c>
      <c r="K117" s="343"/>
      <c r="L117" s="361">
        <f>+J117*G117</f>
        <v>32110879.881988239</v>
      </c>
      <c r="M117" s="343"/>
      <c r="N117" s="318"/>
    </row>
    <row r="118" spans="2:14">
      <c r="B118" s="352">
        <f t="shared" si="5"/>
        <v>63</v>
      </c>
      <c r="C118" s="405"/>
      <c r="D118" s="396" t="s">
        <v>209</v>
      </c>
      <c r="E118" s="343" t="s">
        <v>571</v>
      </c>
      <c r="F118" s="343"/>
      <c r="G118" s="361">
        <f>'WS C  - Working Capital'!I31</f>
        <v>4040672.4775</v>
      </c>
      <c r="H118" s="576"/>
      <c r="I118" s="347" t="s">
        <v>751</v>
      </c>
      <c r="J118" s="348">
        <f>J75</f>
        <v>0.3108027886080969</v>
      </c>
      <c r="K118" s="343"/>
      <c r="L118" s="361">
        <f>+G118*J118</f>
        <v>1255852.2738589877</v>
      </c>
      <c r="M118" s="343"/>
      <c r="N118" s="318"/>
    </row>
    <row r="119" spans="2:14">
      <c r="B119" s="352">
        <f t="shared" si="5"/>
        <v>64</v>
      </c>
      <c r="C119" s="405"/>
      <c r="D119" s="396" t="s">
        <v>305</v>
      </c>
      <c r="E119" s="343" t="s">
        <v>573</v>
      </c>
      <c r="F119" s="343"/>
      <c r="G119" s="361">
        <f>'WS C  - Working Capital'!G31</f>
        <v>0</v>
      </c>
      <c r="H119" s="576"/>
      <c r="I119" s="347" t="s">
        <v>129</v>
      </c>
      <c r="J119" s="348">
        <v>1</v>
      </c>
      <c r="K119" s="343"/>
      <c r="L119" s="361">
        <f>+G119*J119</f>
        <v>0</v>
      </c>
      <c r="M119" s="343"/>
      <c r="N119" s="318"/>
    </row>
    <row r="120" spans="2:14" ht="15.75" thickBot="1">
      <c r="B120" s="352">
        <f t="shared" si="5"/>
        <v>65</v>
      </c>
      <c r="C120" s="405"/>
      <c r="D120" s="396" t="s">
        <v>105</v>
      </c>
      <c r="E120" s="343" t="s">
        <v>574</v>
      </c>
      <c r="F120" s="343"/>
      <c r="G120" s="397">
        <f>'WS C  - Working Capital'!E31</f>
        <v>-248541029.95000002</v>
      </c>
      <c r="H120" s="361"/>
      <c r="I120" s="347" t="s">
        <v>127</v>
      </c>
      <c r="J120" s="348">
        <v>0</v>
      </c>
      <c r="K120" s="343"/>
      <c r="L120" s="397">
        <f>+G120*J120</f>
        <v>0</v>
      </c>
      <c r="M120" s="343"/>
      <c r="N120" s="318"/>
    </row>
    <row r="121" spans="2:14">
      <c r="B121" s="352">
        <f>+B120+1</f>
        <v>66</v>
      </c>
      <c r="C121" s="405"/>
      <c r="D121" s="396" t="s">
        <v>44</v>
      </c>
      <c r="E121" s="396" t="str">
        <f>"(sum lns "&amp;B113&amp;" to "&amp;B120&amp;")"</f>
        <v>(sum lns 58 to 65)</v>
      </c>
      <c r="F121" s="338"/>
      <c r="G121" s="361">
        <f>SUM(G113:G120)</f>
        <v>15206915.386249989</v>
      </c>
      <c r="H121" s="338"/>
      <c r="I121" s="353"/>
      <c r="J121" s="338"/>
      <c r="K121" s="338"/>
      <c r="L121" s="361">
        <f>SUM(L113:L120)</f>
        <v>41408401.746972032</v>
      </c>
      <c r="M121" s="338"/>
      <c r="N121" s="318"/>
    </row>
    <row r="122" spans="2:14">
      <c r="B122" s="352"/>
      <c r="C122" s="353"/>
      <c r="D122" s="396"/>
      <c r="E122" s="338"/>
      <c r="F122" s="338"/>
      <c r="G122" s="361"/>
      <c r="H122" s="338"/>
      <c r="I122" s="353"/>
      <c r="J122" s="338"/>
      <c r="K122" s="338"/>
      <c r="L122" s="361"/>
      <c r="M122" s="338"/>
      <c r="N122" s="318"/>
    </row>
    <row r="123" spans="2:14">
      <c r="B123" s="352">
        <f>+B121+1</f>
        <v>67</v>
      </c>
      <c r="C123" s="353"/>
      <c r="D123" s="396" t="s">
        <v>31</v>
      </c>
      <c r="E123" s="364" t="s">
        <v>544</v>
      </c>
      <c r="F123" s="338"/>
      <c r="G123" s="361">
        <f>+'WS D IPP Credits'!C23</f>
        <v>0</v>
      </c>
      <c r="H123" s="338"/>
      <c r="I123" s="469" t="s">
        <v>129</v>
      </c>
      <c r="J123" s="348">
        <v>1</v>
      </c>
      <c r="K123" s="343"/>
      <c r="L123" s="361">
        <f>+J123*G123</f>
        <v>0</v>
      </c>
      <c r="M123" s="338"/>
      <c r="N123" s="318"/>
    </row>
    <row r="124" spans="2:14" ht="15.75" thickBot="1">
      <c r="B124" s="352"/>
      <c r="C124" s="318"/>
      <c r="D124" s="477"/>
      <c r="E124" s="343"/>
      <c r="F124" s="343"/>
      <c r="G124" s="397"/>
      <c r="H124" s="343"/>
      <c r="I124" s="347"/>
      <c r="J124" s="343"/>
      <c r="K124" s="343"/>
      <c r="L124" s="397"/>
      <c r="M124" s="343"/>
      <c r="N124" s="318"/>
    </row>
    <row r="125" spans="2:14" ht="15.75" thickBot="1">
      <c r="B125" s="352">
        <f>+B123+1</f>
        <v>68</v>
      </c>
      <c r="C125" s="353"/>
      <c r="D125" s="364" t="str">
        <f>"RATE BASE  (sum lns "&amp;B95&amp;", "&amp;B104&amp;", "&amp;B106&amp;", "&amp;B108&amp;", "&amp;B110&amp;", "&amp;B121&amp;", "&amp;B123&amp;")"</f>
        <v>RATE BASE  (sum lns 46, 53, 54, 55, 56, 66, 67)</v>
      </c>
      <c r="E125" s="343"/>
      <c r="F125" s="343"/>
      <c r="G125" s="1115">
        <f>+G121+G106+G104+G95+G123+G108+G110</f>
        <v>5397146206.1049433</v>
      </c>
      <c r="H125" s="343"/>
      <c r="I125" s="343"/>
      <c r="J125" s="406"/>
      <c r="K125" s="343"/>
      <c r="L125" s="1115">
        <f>+L121+L104+L95+L123+L108+L110+L106</f>
        <v>1679363592.0516403</v>
      </c>
      <c r="M125" s="343"/>
      <c r="N125" s="318"/>
    </row>
    <row r="126" spans="2:14" ht="16.5" thickTop="1">
      <c r="B126" s="327"/>
      <c r="C126" s="368"/>
      <c r="D126" s="368"/>
      <c r="E126" s="368"/>
      <c r="F126" s="368"/>
      <c r="G126" s="368"/>
      <c r="H126" s="368"/>
      <c r="I126" s="317"/>
      <c r="J126" s="317"/>
      <c r="K126" s="317"/>
      <c r="L126" s="1080"/>
      <c r="M126" s="318"/>
      <c r="N126" s="318"/>
    </row>
    <row r="127" spans="2:14">
      <c r="B127" s="420"/>
      <c r="C127" s="328"/>
      <c r="D127" s="319"/>
      <c r="E127" s="325"/>
      <c r="F127" s="325"/>
      <c r="G127" s="325"/>
      <c r="H127" s="325"/>
      <c r="I127" s="325"/>
      <c r="J127" s="325"/>
      <c r="K127" s="325"/>
      <c r="L127" s="325"/>
      <c r="M127" s="343"/>
      <c r="N127" s="318"/>
    </row>
    <row r="128" spans="2:14">
      <c r="B128" s="420"/>
      <c r="C128" s="328"/>
      <c r="D128" s="319"/>
      <c r="E128" s="325"/>
      <c r="F128" s="356" t="str">
        <f>F54</f>
        <v xml:space="preserve">AEP East Companies </v>
      </c>
      <c r="G128" s="356"/>
      <c r="H128" s="325"/>
      <c r="I128" s="325"/>
      <c r="J128" s="325"/>
      <c r="K128" s="325"/>
      <c r="L128" s="325"/>
      <c r="M128" s="421"/>
      <c r="N128" s="318"/>
    </row>
    <row r="129" spans="2:15">
      <c r="B129" s="420"/>
      <c r="C129" s="328"/>
      <c r="D129" s="319"/>
      <c r="E129" s="325"/>
      <c r="F129" s="356" t="str">
        <f>F55</f>
        <v>Transmission Cost of Service Formula Rate</v>
      </c>
      <c r="G129" s="356"/>
      <c r="H129" s="325"/>
      <c r="I129" s="325"/>
      <c r="J129" s="325"/>
      <c r="K129" s="325"/>
      <c r="L129" s="325"/>
      <c r="M129" s="421"/>
      <c r="N129" s="318"/>
    </row>
    <row r="130" spans="2:15">
      <c r="B130" s="420"/>
      <c r="C130" s="328"/>
      <c r="E130" s="325"/>
      <c r="F130" s="356" t="str">
        <f>F56</f>
        <v>Utilizing  Actual/Projected FERC Form 1 Data</v>
      </c>
      <c r="G130" s="325"/>
      <c r="H130" s="325"/>
      <c r="I130" s="325"/>
      <c r="J130" s="325"/>
      <c r="K130" s="325"/>
      <c r="L130" s="325"/>
      <c r="M130" s="378"/>
      <c r="N130" s="318"/>
    </row>
    <row r="131" spans="2:15">
      <c r="B131" s="420"/>
      <c r="C131" s="328"/>
      <c r="E131" s="325"/>
      <c r="F131" s="356"/>
      <c r="G131" s="325"/>
      <c r="H131" s="325"/>
      <c r="I131" s="325"/>
      <c r="J131" s="325"/>
      <c r="K131" s="325"/>
      <c r="L131" s="325"/>
      <c r="M131" s="343"/>
      <c r="N131" s="318"/>
    </row>
    <row r="132" spans="2:15">
      <c r="B132" s="420"/>
      <c r="C132" s="328"/>
      <c r="E132" s="422"/>
      <c r="F132" s="356" t="str">
        <f>F58</f>
        <v>Ohio Power Company</v>
      </c>
      <c r="G132" s="422"/>
      <c r="H132" s="423"/>
      <c r="I132" s="422"/>
      <c r="J132" s="422"/>
      <c r="K132" s="422"/>
      <c r="M132" s="343"/>
      <c r="N132" s="318"/>
    </row>
    <row r="133" spans="2:15">
      <c r="B133" s="420"/>
      <c r="C133" s="328"/>
      <c r="E133" s="422"/>
      <c r="F133" s="356"/>
      <c r="G133" s="422"/>
      <c r="H133" s="423"/>
      <c r="I133" s="422"/>
      <c r="J133" s="422"/>
      <c r="K133" s="422"/>
      <c r="M133" s="343"/>
      <c r="N133" s="318"/>
    </row>
    <row r="134" spans="2:15">
      <c r="B134" s="420"/>
      <c r="D134" s="328" t="s">
        <v>121</v>
      </c>
      <c r="E134" s="328" t="s">
        <v>122</v>
      </c>
      <c r="F134" s="328"/>
      <c r="G134" s="328" t="s">
        <v>123</v>
      </c>
      <c r="H134" s="343"/>
      <c r="I134" s="1639" t="s">
        <v>124</v>
      </c>
      <c r="J134" s="1643"/>
      <c r="K134" s="325"/>
      <c r="L134" s="329" t="s">
        <v>125</v>
      </c>
      <c r="M134" s="343"/>
      <c r="N134" s="425"/>
    </row>
    <row r="135" spans="2:15" ht="15.75">
      <c r="B135" s="420"/>
      <c r="D135" s="328"/>
      <c r="E135" s="328"/>
      <c r="F135" s="328"/>
      <c r="G135" s="328"/>
      <c r="H135" s="343"/>
      <c r="I135" s="325"/>
      <c r="J135" s="380"/>
      <c r="K135" s="325"/>
      <c r="M135" s="343"/>
      <c r="N135" s="426"/>
      <c r="O135" s="427"/>
    </row>
    <row r="136" spans="2:15" ht="15.75">
      <c r="B136" s="420"/>
      <c r="C136" s="328"/>
      <c r="D136" s="428" t="s">
        <v>101</v>
      </c>
      <c r="E136" s="382" t="str">
        <f>E62</f>
        <v>Data Sources</v>
      </c>
      <c r="F136" s="383"/>
      <c r="G136" s="325"/>
      <c r="H136" s="343"/>
      <c r="I136" s="325"/>
      <c r="J136" s="328"/>
      <c r="K136" s="325"/>
      <c r="L136" s="382" t="str">
        <f>L62</f>
        <v>Total</v>
      </c>
      <c r="M136" s="318"/>
      <c r="N136" s="426"/>
      <c r="O136" s="427"/>
    </row>
    <row r="137" spans="2:15" ht="15.75">
      <c r="B137" s="420"/>
      <c r="C137" s="335"/>
      <c r="D137" s="385" t="s">
        <v>102</v>
      </c>
      <c r="E137" s="429" t="str">
        <f>E63</f>
        <v>(See "General Notes")</v>
      </c>
      <c r="F137" s="325"/>
      <c r="G137" s="429" t="str">
        <f>G63</f>
        <v>TO Total</v>
      </c>
      <c r="H137" s="430"/>
      <c r="I137" s="1641" t="str">
        <f>I63</f>
        <v>Allocator</v>
      </c>
      <c r="J137" s="1642"/>
      <c r="K137" s="387"/>
      <c r="L137" s="429" t="str">
        <f>L63</f>
        <v>Transmission</v>
      </c>
      <c r="M137" s="343"/>
      <c r="N137" s="426"/>
      <c r="O137" s="427"/>
    </row>
    <row r="138" spans="2:15" ht="15.75">
      <c r="B138" s="327" t="str">
        <f>B64</f>
        <v>Line</v>
      </c>
      <c r="D138" s="319"/>
      <c r="E138" s="325"/>
      <c r="F138" s="325"/>
      <c r="G138" s="385"/>
      <c r="H138" s="431"/>
      <c r="I138" s="428"/>
      <c r="K138" s="432"/>
      <c r="L138" s="385"/>
      <c r="M138" s="343"/>
      <c r="N138" s="318"/>
    </row>
    <row r="139" spans="2:15">
      <c r="B139" s="327" t="str">
        <f>B65</f>
        <v>No.</v>
      </c>
      <c r="C139" s="328"/>
      <c r="D139" s="319" t="s">
        <v>103</v>
      </c>
      <c r="E139" s="325"/>
      <c r="F139" s="325"/>
      <c r="G139" s="325"/>
      <c r="H139" s="343"/>
      <c r="I139" s="356"/>
      <c r="J139" s="325"/>
      <c r="K139" s="325"/>
      <c r="L139" s="325"/>
      <c r="M139" s="343"/>
      <c r="N139" s="318"/>
    </row>
    <row r="140" spans="2:15">
      <c r="B140" s="327">
        <f>+B125+1</f>
        <v>69</v>
      </c>
      <c r="C140" s="328"/>
      <c r="D140" s="319" t="s">
        <v>126</v>
      </c>
      <c r="E140" s="325" t="s">
        <v>10</v>
      </c>
      <c r="F140" s="325"/>
      <c r="G140" s="835">
        <v>738000558</v>
      </c>
      <c r="H140" s="343"/>
      <c r="I140" s="356"/>
      <c r="J140" s="348"/>
      <c r="K140" s="325"/>
      <c r="L140" s="361"/>
      <c r="M140" s="343"/>
      <c r="N140" s="318"/>
    </row>
    <row r="141" spans="2:15">
      <c r="B141" s="327">
        <f>+B140+1</f>
        <v>70</v>
      </c>
      <c r="C141" s="328"/>
      <c r="D141" s="364" t="s">
        <v>130</v>
      </c>
      <c r="E141" s="325" t="s">
        <v>11</v>
      </c>
      <c r="F141" s="343"/>
      <c r="G141" s="835">
        <v>187848983</v>
      </c>
      <c r="H141" s="343"/>
      <c r="I141" s="356"/>
      <c r="J141" s="348"/>
      <c r="K141" s="325"/>
      <c r="L141" s="361"/>
      <c r="M141" s="343"/>
      <c r="N141" s="318"/>
    </row>
    <row r="142" spans="2:15">
      <c r="B142" s="327">
        <f t="shared" ref="B142:B147" si="6">+B141+1</f>
        <v>71</v>
      </c>
      <c r="C142" s="328"/>
      <c r="D142" s="364" t="s">
        <v>246</v>
      </c>
      <c r="E142" s="325" t="s">
        <v>202</v>
      </c>
      <c r="F142" s="343"/>
      <c r="G142" s="835">
        <f>102647090+14197893+276110</f>
        <v>117121093</v>
      </c>
      <c r="H142" s="343"/>
      <c r="I142" s="347"/>
      <c r="J142" s="348"/>
      <c r="K142" s="343"/>
      <c r="L142" s="361"/>
      <c r="M142" s="343"/>
      <c r="N142" s="318"/>
    </row>
    <row r="143" spans="2:15">
      <c r="B143" s="327">
        <f t="shared" si="6"/>
        <v>72</v>
      </c>
      <c r="C143" s="328"/>
      <c r="D143" s="364" t="s">
        <v>247</v>
      </c>
      <c r="E143" s="325" t="s">
        <v>417</v>
      </c>
      <c r="F143" s="343"/>
      <c r="G143" s="835">
        <v>2378</v>
      </c>
      <c r="H143" s="343"/>
      <c r="I143" s="347"/>
      <c r="J143" s="348"/>
      <c r="K143" s="343"/>
      <c r="L143" s="361"/>
      <c r="M143" s="343"/>
      <c r="N143" s="318"/>
    </row>
    <row r="144" spans="2:15" ht="15.75" thickBot="1">
      <c r="B144" s="327">
        <f t="shared" si="6"/>
        <v>73</v>
      </c>
      <c r="C144" s="328"/>
      <c r="D144" s="364" t="s">
        <v>135</v>
      </c>
      <c r="E144" s="325" t="s">
        <v>416</v>
      </c>
      <c r="F144" s="343"/>
      <c r="G144" s="836">
        <v>585142594</v>
      </c>
      <c r="H144" s="361"/>
      <c r="I144" s="368"/>
      <c r="J144" s="368"/>
      <c r="K144" s="330"/>
      <c r="L144" s="330"/>
      <c r="M144" s="338"/>
      <c r="N144" s="343"/>
      <c r="O144" s="325"/>
    </row>
    <row r="145" spans="2:15">
      <c r="B145" s="327">
        <f t="shared" si="6"/>
        <v>74</v>
      </c>
      <c r="C145" s="328"/>
      <c r="D145" s="364" t="s">
        <v>248</v>
      </c>
      <c r="E145" s="343" t="str">
        <f>"(sum lns "&amp;B140&amp;"  to "&amp;B144&amp;")"</f>
        <v>(sum lns 69  to 73)</v>
      </c>
      <c r="F145" s="343"/>
      <c r="G145" s="361">
        <f>SUM(G140:G144)</f>
        <v>1628115606</v>
      </c>
      <c r="H145" s="361"/>
      <c r="I145" s="368"/>
      <c r="J145" s="368"/>
      <c r="K145" s="330"/>
      <c r="L145" s="330"/>
      <c r="M145" s="338"/>
      <c r="N145" s="343"/>
      <c r="O145" s="325"/>
    </row>
    <row r="146" spans="2:15">
      <c r="B146" s="327">
        <f t="shared" si="6"/>
        <v>75</v>
      </c>
      <c r="C146" s="328"/>
      <c r="D146" s="364" t="s">
        <v>328</v>
      </c>
      <c r="E146" s="343" t="str">
        <f>"(Note G) (Worksheet F, ln "&amp;'WS F Misc Exp'!A33&amp;".C)"</f>
        <v>(Note G) (Worksheet F, ln 14.C)</v>
      </c>
      <c r="F146" s="343"/>
      <c r="G146" s="361">
        <f>'WS F Misc Exp'!D33</f>
        <v>958659.65</v>
      </c>
      <c r="H146" s="361"/>
      <c r="I146" s="368"/>
      <c r="J146" s="368"/>
      <c r="K146" s="330"/>
      <c r="L146" s="330"/>
      <c r="M146" s="338"/>
      <c r="N146" s="343"/>
      <c r="O146" s="325"/>
    </row>
    <row r="147" spans="2:15">
      <c r="B147" s="327">
        <f t="shared" si="6"/>
        <v>76</v>
      </c>
      <c r="C147" s="328"/>
      <c r="D147" s="364" t="s">
        <v>23</v>
      </c>
      <c r="E147" s="343" t="s">
        <v>100</v>
      </c>
      <c r="F147" s="343"/>
      <c r="G147" s="835">
        <v>532406631</v>
      </c>
      <c r="H147" s="361"/>
      <c r="I147" s="368"/>
      <c r="J147" s="368"/>
      <c r="K147" s="330"/>
      <c r="L147" s="330"/>
      <c r="M147" s="338"/>
      <c r="N147" s="343"/>
      <c r="O147" s="325"/>
    </row>
    <row r="148" spans="2:15" ht="15.75" thickBot="1">
      <c r="B148" s="327">
        <f>+B147+1</f>
        <v>77</v>
      </c>
      <c r="C148" s="353"/>
      <c r="D148" s="364" t="s">
        <v>332</v>
      </c>
      <c r="E148" s="343" t="s">
        <v>480</v>
      </c>
      <c r="F148" s="343"/>
      <c r="G148" s="397">
        <f>+'WS F Misc Exp'!D21</f>
        <v>7116696.4000000004</v>
      </c>
      <c r="H148" s="361"/>
      <c r="I148" s="414"/>
      <c r="J148" s="414"/>
      <c r="K148" s="330"/>
      <c r="L148" s="330"/>
      <c r="M148" s="338"/>
      <c r="N148" s="343"/>
      <c r="O148" s="325"/>
    </row>
    <row r="149" spans="2:15">
      <c r="B149" s="327">
        <f>+B148+1</f>
        <v>78</v>
      </c>
      <c r="C149" s="328"/>
      <c r="D149" s="364" t="s">
        <v>384</v>
      </c>
      <c r="E149" s="325" t="str">
        <f>"(lns "&amp;B144&amp;" - "&amp;B146&amp;" - "&amp;B147&amp;" - "&amp;B148&amp;")"</f>
        <v>(lns 73 - 75 - 76 - 77)</v>
      </c>
      <c r="F149" s="364"/>
      <c r="G149" s="361">
        <f>G144-G146-G147-G148</f>
        <v>44660606.950000025</v>
      </c>
      <c r="H149" s="343"/>
      <c r="I149" s="356" t="s">
        <v>120</v>
      </c>
      <c r="J149" s="348">
        <f>L231</f>
        <v>0.99999583665660963</v>
      </c>
      <c r="K149" s="343"/>
      <c r="L149" s="361">
        <f>+J149*G149</f>
        <v>44660421.012557268</v>
      </c>
      <c r="M149" s="338"/>
      <c r="N149" s="343"/>
      <c r="O149" s="325"/>
    </row>
    <row r="150" spans="2:15">
      <c r="B150" s="327"/>
      <c r="C150" s="328"/>
      <c r="D150" s="364"/>
      <c r="E150" s="343"/>
      <c r="F150" s="343"/>
      <c r="G150" s="433"/>
      <c r="H150" s="361"/>
      <c r="I150" s="368"/>
      <c r="J150" s="368"/>
      <c r="K150" s="330"/>
      <c r="L150" s="330"/>
      <c r="M150" s="338"/>
      <c r="N150" s="343"/>
      <c r="O150" s="325"/>
    </row>
    <row r="151" spans="2:15">
      <c r="B151" s="327">
        <f>+B149+1</f>
        <v>79</v>
      </c>
      <c r="C151" s="328"/>
      <c r="D151" s="319" t="s">
        <v>104</v>
      </c>
      <c r="E151" s="343" t="s">
        <v>742</v>
      </c>
      <c r="F151" s="343"/>
      <c r="G151" s="835">
        <v>81849577</v>
      </c>
      <c r="H151" s="361"/>
      <c r="I151" s="409"/>
      <c r="J151" s="409"/>
      <c r="K151" s="325"/>
      <c r="L151" s="408"/>
      <c r="M151" s="343"/>
      <c r="N151" s="343"/>
      <c r="O151" s="325"/>
    </row>
    <row r="152" spans="2:15">
      <c r="B152" s="327">
        <f t="shared" ref="B152:B165" si="7">+B151+1</f>
        <v>80</v>
      </c>
      <c r="C152" s="328"/>
      <c r="D152" s="364" t="s">
        <v>330</v>
      </c>
      <c r="E152" s="325" t="s">
        <v>418</v>
      </c>
      <c r="F152" s="325"/>
      <c r="G152" s="835">
        <v>2538539</v>
      </c>
      <c r="H152" s="361"/>
      <c r="I152" s="409"/>
      <c r="J152" s="319"/>
      <c r="K152" s="325"/>
      <c r="L152" s="408"/>
      <c r="M152" s="412"/>
      <c r="N152" s="343"/>
      <c r="O152" s="325"/>
    </row>
    <row r="153" spans="2:15">
      <c r="B153" s="327">
        <f t="shared" si="7"/>
        <v>81</v>
      </c>
      <c r="C153" s="328"/>
      <c r="D153" s="1230" t="s">
        <v>851</v>
      </c>
      <c r="E153" s="343" t="str">
        <f>"PBOP Worksheet O Line "&amp;'WS O - PBOP'!A37&amp;" &amp; "&amp;'WS O - PBOP'!A39&amp;", (Note K)"</f>
        <v>PBOP Worksheet O Line 9 &amp; 10, (Note K)</v>
      </c>
      <c r="F153" s="325"/>
      <c r="G153" s="1231">
        <f>'WS O - PBOP'!I37+'WS O - PBOP'!I39</f>
        <v>-12990946.059999999</v>
      </c>
      <c r="H153" s="361"/>
      <c r="I153" s="409"/>
      <c r="J153" s="319"/>
      <c r="K153" s="325"/>
      <c r="L153" s="408"/>
      <c r="M153" s="412"/>
      <c r="N153" s="343"/>
      <c r="O153" s="325"/>
    </row>
    <row r="154" spans="2:15">
      <c r="B154" s="327">
        <f t="shared" si="7"/>
        <v>82</v>
      </c>
      <c r="C154" s="328"/>
      <c r="D154" s="364" t="s">
        <v>852</v>
      </c>
      <c r="E154" s="343" t="str">
        <f>"PBOP Worksheet O  Line "&amp;'WS O - PBOP'!A41&amp;", (Note K)"</f>
        <v>PBOP Worksheet O  Line 11, (Note K)</v>
      </c>
      <c r="F154" s="325"/>
      <c r="G154" s="1231">
        <f>'WS O - PBOP'!I41</f>
        <v>0</v>
      </c>
      <c r="H154" s="361"/>
      <c r="I154" s="409"/>
      <c r="J154" s="319"/>
      <c r="K154" s="325"/>
      <c r="L154" s="408"/>
      <c r="M154" s="412"/>
      <c r="N154" s="343"/>
      <c r="O154" s="325"/>
    </row>
    <row r="155" spans="2:15">
      <c r="B155" s="327">
        <f t="shared" si="7"/>
        <v>83</v>
      </c>
      <c r="C155" s="328"/>
      <c r="D155" s="364" t="s">
        <v>853</v>
      </c>
      <c r="E155" s="343" t="str">
        <f>"PBOP Worksheet O Line "&amp;'WS O - PBOP'!A45&amp;", (Note K)"</f>
        <v>PBOP Worksheet O Line 13, (Note K)</v>
      </c>
      <c r="F155" s="325"/>
      <c r="G155" s="1231">
        <f>'WS O - PBOP'!I45</f>
        <v>-4291916.1550446386</v>
      </c>
      <c r="H155" s="361"/>
      <c r="I155" s="409"/>
      <c r="J155" s="319"/>
      <c r="K155" s="325"/>
      <c r="L155" s="408"/>
      <c r="M155" s="412"/>
      <c r="N155" s="343"/>
      <c r="O155" s="325"/>
    </row>
    <row r="156" spans="2:15">
      <c r="B156" s="327">
        <f t="shared" si="7"/>
        <v>84</v>
      </c>
      <c r="C156" s="328"/>
      <c r="D156" s="319" t="s">
        <v>329</v>
      </c>
      <c r="E156" s="325" t="s">
        <v>96</v>
      </c>
      <c r="F156" s="343"/>
      <c r="G156" s="835">
        <v>7158756</v>
      </c>
      <c r="H156" s="361"/>
      <c r="I156" s="409"/>
      <c r="J156" s="434"/>
      <c r="K156" s="325"/>
      <c r="L156" s="408"/>
      <c r="M156" s="343"/>
      <c r="N156" s="343"/>
      <c r="O156" s="325"/>
    </row>
    <row r="157" spans="2:15">
      <c r="B157" s="327">
        <f t="shared" si="7"/>
        <v>85</v>
      </c>
      <c r="C157" s="328"/>
      <c r="D157" s="364" t="s">
        <v>107</v>
      </c>
      <c r="E157" s="325" t="s">
        <v>97</v>
      </c>
      <c r="F157" s="343"/>
      <c r="G157" s="835">
        <v>577555</v>
      </c>
      <c r="H157" s="361"/>
      <c r="I157" s="409"/>
      <c r="J157" s="409"/>
      <c r="K157" s="325"/>
      <c r="L157" s="408"/>
      <c r="M157" s="343"/>
      <c r="N157" s="343"/>
      <c r="O157" s="325"/>
    </row>
    <row r="158" spans="2:15" ht="15.75" thickBot="1">
      <c r="B158" s="327">
        <f t="shared" si="7"/>
        <v>86</v>
      </c>
      <c r="C158" s="328"/>
      <c r="D158" s="364" t="s">
        <v>331</v>
      </c>
      <c r="E158" s="325" t="s">
        <v>98</v>
      </c>
      <c r="F158" s="343"/>
      <c r="G158" s="836">
        <v>3034742</v>
      </c>
      <c r="H158" s="361"/>
      <c r="I158" s="409"/>
      <c r="J158" s="409"/>
      <c r="K158" s="325"/>
      <c r="L158" s="408"/>
      <c r="M158" s="343"/>
      <c r="N158" s="343"/>
      <c r="O158" s="325"/>
    </row>
    <row r="159" spans="2:15">
      <c r="B159" s="327">
        <f t="shared" si="7"/>
        <v>87</v>
      </c>
      <c r="C159" s="328"/>
      <c r="D159" s="319" t="s">
        <v>108</v>
      </c>
      <c r="E159" s="343" t="str">
        <f>"(ln "&amp;B151&amp;" - sum ln "&amp;B152&amp;"  to ln "&amp;B158&amp;")"</f>
        <v>(ln 79 - sum ln 80  to ln 86)</v>
      </c>
      <c r="F159" s="343"/>
      <c r="G159" s="361">
        <f>G151-SUM(G152:G158)</f>
        <v>85822847.215044633</v>
      </c>
      <c r="H159" s="361"/>
      <c r="I159" s="356" t="s">
        <v>132</v>
      </c>
      <c r="J159" s="348">
        <f>L241</f>
        <v>0.12769052594773625</v>
      </c>
      <c r="K159" s="325"/>
      <c r="L159" s="408">
        <f>+J159*G159</f>
        <v>10958764.49922126</v>
      </c>
      <c r="M159" s="343"/>
      <c r="N159" s="343"/>
      <c r="O159" s="325"/>
    </row>
    <row r="160" spans="2:15">
      <c r="B160" s="327">
        <f t="shared" si="7"/>
        <v>88</v>
      </c>
      <c r="C160" s="353"/>
      <c r="D160" s="364" t="s">
        <v>197</v>
      </c>
      <c r="E160" s="343" t="str">
        <f>"(ln "&amp;B152&amp;")"</f>
        <v>(ln 80)</v>
      </c>
      <c r="F160" s="343"/>
      <c r="G160" s="361">
        <f>+G152</f>
        <v>2538539</v>
      </c>
      <c r="H160" s="361"/>
      <c r="I160" s="356" t="s">
        <v>751</v>
      </c>
      <c r="J160" s="348">
        <f>J75</f>
        <v>0.3108027886080969</v>
      </c>
      <c r="K160" s="343"/>
      <c r="L160" s="361">
        <f>+J160*G160</f>
        <v>788985.00019040972</v>
      </c>
      <c r="M160" s="343"/>
      <c r="N160" s="343"/>
      <c r="O160" s="325"/>
    </row>
    <row r="161" spans="2:15">
      <c r="B161" s="327">
        <f t="shared" si="7"/>
        <v>89</v>
      </c>
      <c r="C161" s="328"/>
      <c r="D161" s="364" t="s">
        <v>230</v>
      </c>
      <c r="E161" s="343" t="str">
        <f>"Worksheet F ln "&amp;'WS F Misc Exp'!A41&amp;".(E) (Note L)"</f>
        <v>Worksheet F ln 20.(E) (Note L)</v>
      </c>
      <c r="F161" s="343"/>
      <c r="G161" s="361">
        <f>+'WS F Misc Exp'!F41</f>
        <v>1677781.455740656</v>
      </c>
      <c r="H161" s="361"/>
      <c r="I161" s="356" t="s">
        <v>120</v>
      </c>
      <c r="J161" s="348">
        <f>L231</f>
        <v>0.99999583665660963</v>
      </c>
      <c r="K161" s="325"/>
      <c r="L161" s="408">
        <f>J161*G161</f>
        <v>1677774.4705603218</v>
      </c>
      <c r="M161" s="343"/>
      <c r="N161" s="343"/>
      <c r="O161" s="325"/>
    </row>
    <row r="162" spans="2:15">
      <c r="B162" s="327">
        <f t="shared" si="7"/>
        <v>90</v>
      </c>
      <c r="C162" s="328"/>
      <c r="D162" s="364" t="s">
        <v>240</v>
      </c>
      <c r="E162" s="343" t="str">
        <f>"Worksheet F ln "&amp;'WS F Misc Exp'!A61&amp;".(E) (Note L)"</f>
        <v>Worksheet F ln 37.(E) (Note L)</v>
      </c>
      <c r="F162" s="343"/>
      <c r="G162" s="346">
        <f>+'WS F Misc Exp'!F61</f>
        <v>0</v>
      </c>
      <c r="H162" s="343"/>
      <c r="I162" s="347" t="s">
        <v>120</v>
      </c>
      <c r="J162" s="348">
        <f>L231</f>
        <v>0.99999583665660963</v>
      </c>
      <c r="K162" s="325"/>
      <c r="L162" s="408">
        <f>+J162*G162</f>
        <v>0</v>
      </c>
      <c r="M162" s="343"/>
      <c r="N162" s="343"/>
      <c r="O162" s="325"/>
    </row>
    <row r="163" spans="2:15">
      <c r="B163" s="327">
        <f t="shared" si="7"/>
        <v>91</v>
      </c>
      <c r="C163" s="328"/>
      <c r="D163" s="364" t="s">
        <v>241</v>
      </c>
      <c r="E163" s="343" t="str">
        <f>"Worksheet F ln "&amp;'WS F Misc Exp'!A71&amp;".(E) (Note L)"</f>
        <v>Worksheet F ln 44.(E) (Note L)</v>
      </c>
      <c r="F163" s="343"/>
      <c r="G163" s="346">
        <f>+'WS F Misc Exp'!F71</f>
        <v>273142.03999999998</v>
      </c>
      <c r="H163" s="435"/>
      <c r="I163" s="347" t="s">
        <v>129</v>
      </c>
      <c r="J163" s="348">
        <v>1</v>
      </c>
      <c r="K163" s="325"/>
      <c r="L163" s="436">
        <f>+J163*G163</f>
        <v>273142.03999999998</v>
      </c>
      <c r="M163" s="343"/>
      <c r="N163" s="343"/>
      <c r="O163" s="325"/>
    </row>
    <row r="164" spans="2:15">
      <c r="B164" s="327">
        <f t="shared" si="7"/>
        <v>92</v>
      </c>
      <c r="C164" s="328"/>
      <c r="D164" s="364" t="s">
        <v>854</v>
      </c>
      <c r="E164" s="343" t="s">
        <v>856</v>
      </c>
      <c r="F164" s="343"/>
      <c r="G164" s="1294">
        <f>'WS O - PBOP'!E26</f>
        <v>13757152</v>
      </c>
      <c r="H164" s="435"/>
      <c r="I164" s="356" t="s">
        <v>132</v>
      </c>
      <c r="J164" s="348">
        <f>L241</f>
        <v>0.12769052594773625</v>
      </c>
      <c r="K164" s="325"/>
      <c r="L164" s="465">
        <f>+J164*G164</f>
        <v>1756657.9744229517</v>
      </c>
      <c r="M164" s="343"/>
      <c r="N164" s="343"/>
      <c r="O164" s="325"/>
    </row>
    <row r="165" spans="2:15">
      <c r="B165" s="327">
        <f t="shared" si="7"/>
        <v>93</v>
      </c>
      <c r="C165" s="328"/>
      <c r="D165" s="319" t="s">
        <v>109</v>
      </c>
      <c r="E165" s="343" t="str">
        <f>"(sum lns "&amp;B159&amp;"  to "&amp;B164&amp;")"</f>
        <v>(sum lns 87  to 92)</v>
      </c>
      <c r="F165" s="343"/>
      <c r="G165" s="408">
        <f>SUM(G159:G164)</f>
        <v>104069461.7107853</v>
      </c>
      <c r="H165" s="361"/>
      <c r="I165" s="356"/>
      <c r="J165" s="409"/>
      <c r="K165" s="325"/>
      <c r="L165" s="408">
        <f>SUM(L159:L164)</f>
        <v>15455323.984394941</v>
      </c>
      <c r="M165" s="343"/>
      <c r="N165" s="361"/>
      <c r="O165" s="325"/>
    </row>
    <row r="166" spans="2:15" ht="15.75" thickBot="1">
      <c r="B166" s="327"/>
      <c r="C166" s="328"/>
      <c r="D166" s="364"/>
      <c r="E166" s="343"/>
      <c r="F166" s="343"/>
      <c r="G166" s="397"/>
      <c r="H166" s="343"/>
      <c r="I166" s="356"/>
      <c r="J166" s="409"/>
      <c r="K166" s="325"/>
      <c r="L166" s="418"/>
      <c r="M166" s="343"/>
      <c r="N166" s="343"/>
      <c r="O166" s="325"/>
    </row>
    <row r="167" spans="2:15">
      <c r="B167" s="327">
        <f>+B165+1</f>
        <v>94</v>
      </c>
      <c r="C167" s="353"/>
      <c r="D167" s="364" t="s">
        <v>414</v>
      </c>
      <c r="E167" s="343" t="str">
        <f>"(ln "&amp;B149&amp;" + ln "&amp;B165&amp;")"</f>
        <v>(ln 78 + ln 93)</v>
      </c>
      <c r="F167" s="343"/>
      <c r="G167" s="361">
        <f>+G149+G165</f>
        <v>148730068.66078532</v>
      </c>
      <c r="H167" s="361"/>
      <c r="I167" s="347"/>
      <c r="J167" s="343"/>
      <c r="K167" s="343"/>
      <c r="L167" s="361">
        <f>L149+L165</f>
        <v>60115744.996952206</v>
      </c>
      <c r="M167" s="343"/>
      <c r="N167" s="343"/>
      <c r="O167" s="325"/>
    </row>
    <row r="168" spans="2:15" ht="15.75" thickBot="1">
      <c r="B168" s="327">
        <f>+B167+1</f>
        <v>95</v>
      </c>
      <c r="C168" s="353"/>
      <c r="D168" s="364" t="s">
        <v>486</v>
      </c>
      <c r="E168" s="364"/>
      <c r="F168" s="343"/>
      <c r="G168" s="835">
        <v>2728223</v>
      </c>
      <c r="H168" s="361"/>
      <c r="I168" s="356" t="s">
        <v>129</v>
      </c>
      <c r="J168" s="348">
        <v>1</v>
      </c>
      <c r="K168" s="343"/>
      <c r="L168" s="418">
        <f>J168*G168</f>
        <v>2728223</v>
      </c>
      <c r="M168" s="343"/>
      <c r="N168" s="343"/>
      <c r="O168" s="325"/>
    </row>
    <row r="169" spans="2:15">
      <c r="B169" s="327">
        <f>+B168+1</f>
        <v>96</v>
      </c>
      <c r="C169" s="328"/>
      <c r="D169" s="364" t="s">
        <v>110</v>
      </c>
      <c r="E169" s="343" t="str">
        <f>"(ln "&amp;B167&amp;" + ln "&amp;B168&amp;")"</f>
        <v>(ln 94 + ln 95)</v>
      </c>
      <c r="F169" s="343"/>
      <c r="G169" s="361">
        <f>+G167+G168</f>
        <v>151458291.66078532</v>
      </c>
      <c r="H169" s="361"/>
      <c r="I169" s="347"/>
      <c r="J169" s="343"/>
      <c r="K169" s="343"/>
      <c r="L169" s="361">
        <f>+L167+L168</f>
        <v>62843967.996952206</v>
      </c>
      <c r="M169" s="343"/>
      <c r="N169" s="343"/>
      <c r="O169" s="325"/>
    </row>
    <row r="170" spans="2:15">
      <c r="B170" s="327"/>
      <c r="C170" s="328"/>
      <c r="D170" s="364"/>
      <c r="E170" s="325"/>
      <c r="F170" s="325"/>
      <c r="G170" s="408"/>
      <c r="H170" s="343"/>
      <c r="I170" s="325"/>
      <c r="J170" s="325"/>
      <c r="K170" s="325"/>
      <c r="L170" s="408"/>
      <c r="M170" s="343"/>
      <c r="N170" s="343"/>
      <c r="O170" s="325"/>
    </row>
    <row r="171" spans="2:15">
      <c r="B171" s="327">
        <f>+B169+1</f>
        <v>97</v>
      </c>
      <c r="C171" s="328"/>
      <c r="D171" s="389" t="s">
        <v>113</v>
      </c>
      <c r="E171" s="347"/>
      <c r="F171" s="347"/>
      <c r="G171" s="408"/>
      <c r="H171" s="343"/>
      <c r="I171" s="356"/>
      <c r="J171" s="325"/>
      <c r="K171" s="325"/>
      <c r="L171" s="408"/>
      <c r="M171" s="343"/>
      <c r="N171" s="343"/>
      <c r="O171" s="325"/>
    </row>
    <row r="172" spans="2:15">
      <c r="B172" s="327">
        <f t="shared" ref="B172:B177" si="8">+B171+1</f>
        <v>98</v>
      </c>
      <c r="C172" s="328"/>
      <c r="D172" s="319" t="s">
        <v>126</v>
      </c>
      <c r="E172" s="342" t="s">
        <v>424</v>
      </c>
      <c r="F172" s="347"/>
      <c r="G172" s="835">
        <v>0</v>
      </c>
      <c r="H172" s="343"/>
      <c r="I172" s="356" t="s">
        <v>127</v>
      </c>
      <c r="J172" s="348">
        <v>0</v>
      </c>
      <c r="K172" s="325"/>
      <c r="L172" s="361">
        <f>+G172*J172</f>
        <v>0</v>
      </c>
      <c r="M172" s="343"/>
      <c r="N172" s="343"/>
      <c r="O172" s="325"/>
    </row>
    <row r="173" spans="2:15">
      <c r="B173" s="327">
        <f t="shared" si="8"/>
        <v>99</v>
      </c>
      <c r="C173" s="328"/>
      <c r="D173" s="364" t="s">
        <v>130</v>
      </c>
      <c r="E173" s="342" t="s">
        <v>423</v>
      </c>
      <c r="F173" s="347"/>
      <c r="G173" s="835">
        <v>179242741</v>
      </c>
      <c r="H173" s="343"/>
      <c r="I173" s="356" t="s">
        <v>127</v>
      </c>
      <c r="J173" s="348">
        <v>0</v>
      </c>
      <c r="K173" s="325"/>
      <c r="L173" s="361">
        <f>+G173*J173</f>
        <v>0</v>
      </c>
      <c r="M173" s="343"/>
      <c r="N173" s="343"/>
      <c r="O173" s="325"/>
    </row>
    <row r="174" spans="2:15">
      <c r="B174" s="327">
        <f t="shared" si="8"/>
        <v>100</v>
      </c>
      <c r="C174" s="328"/>
      <c r="D174" s="391" t="str">
        <f>+D144</f>
        <v xml:space="preserve">  Transmission </v>
      </c>
      <c r="E174" s="342" t="s">
        <v>419</v>
      </c>
      <c r="F174" s="437"/>
      <c r="G174" s="835">
        <v>65699730</v>
      </c>
      <c r="H174" s="438"/>
      <c r="I174" s="439" t="s">
        <v>26</v>
      </c>
      <c r="J174" s="348">
        <f>J80</f>
        <v>1</v>
      </c>
      <c r="K174" s="440"/>
      <c r="L174" s="441">
        <f>J174*G174</f>
        <v>65699730</v>
      </c>
      <c r="M174" s="394"/>
      <c r="N174" s="343"/>
      <c r="O174" s="325"/>
    </row>
    <row r="175" spans="2:15">
      <c r="B175" s="327">
        <f>+B174+1</f>
        <v>101</v>
      </c>
      <c r="C175" s="328"/>
      <c r="D175" s="389" t="s">
        <v>136</v>
      </c>
      <c r="E175" s="437" t="s">
        <v>420</v>
      </c>
      <c r="F175" s="325"/>
      <c r="G175" s="835">
        <v>13587310</v>
      </c>
      <c r="H175" s="361"/>
      <c r="I175" s="356" t="s">
        <v>132</v>
      </c>
      <c r="J175" s="348">
        <f>L241</f>
        <v>0.12769052594773625</v>
      </c>
      <c r="K175" s="325"/>
      <c r="L175" s="408">
        <f>+J175*G175</f>
        <v>1734970.7601149362</v>
      </c>
      <c r="M175" s="343"/>
      <c r="N175" s="343"/>
      <c r="O175" s="325"/>
    </row>
    <row r="176" spans="2:15" ht="15.75" thickBot="1">
      <c r="B176" s="327">
        <f t="shared" si="8"/>
        <v>102</v>
      </c>
      <c r="C176" s="328"/>
      <c r="D176" s="389" t="s">
        <v>137</v>
      </c>
      <c r="E176" s="392" t="s">
        <v>421</v>
      </c>
      <c r="F176" s="343"/>
      <c r="G176" s="836">
        <v>43438904</v>
      </c>
      <c r="H176" s="361"/>
      <c r="I176" s="356" t="s">
        <v>132</v>
      </c>
      <c r="J176" s="348">
        <f>L241</f>
        <v>0.12769052594773625</v>
      </c>
      <c r="K176" s="325"/>
      <c r="L176" s="418">
        <f>+J176*G176</f>
        <v>5546736.4983532242</v>
      </c>
      <c r="M176" s="343"/>
      <c r="N176" s="343"/>
      <c r="O176" s="325"/>
    </row>
    <row r="177" spans="2:15">
      <c r="B177" s="327">
        <f t="shared" si="8"/>
        <v>103</v>
      </c>
      <c r="C177" s="328"/>
      <c r="D177" s="389" t="s">
        <v>301</v>
      </c>
      <c r="E177" s="1636" t="str">
        <f>"(Ln "&amp;B172&amp;"+"&amp;B173&amp;"+
"&amp;B174&amp;"+"&amp;B175&amp;"+"&amp;B176&amp;")"</f>
        <v>(Ln 98+99+
100+101+102)</v>
      </c>
      <c r="F177" s="325"/>
      <c r="G177" s="361">
        <f>+G172+G173+G174+G175+G176</f>
        <v>301968685</v>
      </c>
      <c r="H177" s="343"/>
      <c r="I177" s="356"/>
      <c r="J177" s="325"/>
      <c r="K177" s="325"/>
      <c r="L177" s="361">
        <f>+L172+L173+L174+L175+L176</f>
        <v>72981437.258468166</v>
      </c>
      <c r="M177" s="343"/>
      <c r="N177" s="343"/>
      <c r="O177" s="325"/>
    </row>
    <row r="178" spans="2:15">
      <c r="B178" s="327"/>
      <c r="C178" s="328"/>
      <c r="D178" s="389"/>
      <c r="E178" s="1637"/>
      <c r="F178" s="325"/>
      <c r="G178" s="408"/>
      <c r="H178" s="343"/>
      <c r="I178" s="356"/>
      <c r="J178" s="325"/>
      <c r="K178" s="325"/>
      <c r="L178" s="408"/>
      <c r="M178" s="343"/>
      <c r="N178" s="343"/>
      <c r="O178" s="325"/>
    </row>
    <row r="179" spans="2:15">
      <c r="B179" s="327">
        <f>+B177+1</f>
        <v>104</v>
      </c>
      <c r="C179" s="328"/>
      <c r="D179" s="389" t="s">
        <v>32</v>
      </c>
      <c r="E179" s="318" t="s">
        <v>422</v>
      </c>
      <c r="G179" s="408"/>
      <c r="H179" s="343"/>
      <c r="I179" s="356"/>
      <c r="J179" s="325"/>
      <c r="K179" s="325"/>
      <c r="L179" s="408"/>
      <c r="M179" s="343"/>
      <c r="N179" s="421"/>
      <c r="O179" s="325"/>
    </row>
    <row r="180" spans="2:15">
      <c r="B180" s="327">
        <f t="shared" ref="B180:B185" si="9">+B179+1</f>
        <v>105</v>
      </c>
      <c r="C180" s="328"/>
      <c r="D180" s="389" t="s">
        <v>138</v>
      </c>
      <c r="G180" s="408"/>
      <c r="H180" s="343"/>
      <c r="I180" s="356"/>
      <c r="K180" s="325"/>
      <c r="L180" s="408"/>
      <c r="M180" s="343"/>
      <c r="N180" s="343"/>
      <c r="O180" s="325"/>
    </row>
    <row r="181" spans="2:15">
      <c r="B181" s="327">
        <f t="shared" si="9"/>
        <v>106</v>
      </c>
      <c r="C181" s="328"/>
      <c r="D181" s="389" t="s">
        <v>139</v>
      </c>
      <c r="E181" s="343" t="str">
        <f>"Worksheet H ln "&amp;'WS H Other Taxes'!A43&amp;"."&amp;'WS H Other Taxes'!I10&amp;""</f>
        <v>Worksheet H ln 24.(D)</v>
      </c>
      <c r="F181" s="325"/>
      <c r="G181" s="361">
        <f>+'WS H Other Taxes'!I43</f>
        <v>6013252</v>
      </c>
      <c r="H181" s="361"/>
      <c r="I181" s="356" t="s">
        <v>132</v>
      </c>
      <c r="J181" s="348">
        <f>L241</f>
        <v>0.12769052594773625</v>
      </c>
      <c r="K181" s="325"/>
      <c r="L181" s="408">
        <f>+J181*G181</f>
        <v>767835.3105362769</v>
      </c>
      <c r="M181" s="413"/>
      <c r="N181" s="343"/>
      <c r="O181" s="325"/>
    </row>
    <row r="182" spans="2:15">
      <c r="B182" s="327">
        <f t="shared" si="9"/>
        <v>107</v>
      </c>
      <c r="C182" s="328"/>
      <c r="D182" s="389" t="s">
        <v>140</v>
      </c>
      <c r="E182" s="343" t="s">
        <v>114</v>
      </c>
      <c r="F182" s="325"/>
      <c r="G182" s="361"/>
      <c r="H182" s="361"/>
      <c r="I182" s="356"/>
      <c r="K182" s="325"/>
      <c r="L182" s="408"/>
      <c r="M182" s="343"/>
      <c r="N182" s="343"/>
      <c r="O182" s="325"/>
    </row>
    <row r="183" spans="2:15">
      <c r="B183" s="327">
        <f t="shared" si="9"/>
        <v>108</v>
      </c>
      <c r="C183" s="353"/>
      <c r="D183" s="396" t="s">
        <v>141</v>
      </c>
      <c r="E183" s="343" t="str">
        <f>"Worksheet H ln "&amp;'WS H Other Taxes'!A43&amp;"."&amp;'WS H Other Taxes'!G10&amp;""</f>
        <v>Worksheet H ln 24.(C)</v>
      </c>
      <c r="F183" s="343"/>
      <c r="G183" s="361">
        <f>+'WS H Other Taxes'!G43</f>
        <v>322445714</v>
      </c>
      <c r="H183" s="361"/>
      <c r="I183" s="347" t="s">
        <v>129</v>
      </c>
      <c r="J183" s="348"/>
      <c r="K183" s="343"/>
      <c r="L183" s="421">
        <f>'WS H-1-Detail of Tax Amts'!I25</f>
        <v>103584436.17399351</v>
      </c>
      <c r="M183" s="442"/>
      <c r="N183" s="421"/>
      <c r="O183" s="343"/>
    </row>
    <row r="184" spans="2:15">
      <c r="B184" s="327">
        <f t="shared" si="9"/>
        <v>109</v>
      </c>
      <c r="C184" s="328"/>
      <c r="D184" s="389" t="s">
        <v>200</v>
      </c>
      <c r="E184" s="343" t="str">
        <f>"Worksheet H ln "&amp;'WS H Other Taxes'!A43&amp;"."&amp;'WS H Other Taxes'!M10&amp;""</f>
        <v>Worksheet H ln 24.(F)</v>
      </c>
      <c r="F184" s="325"/>
      <c r="G184" s="361">
        <f>+'WS H Other Taxes'!M43</f>
        <v>151984499</v>
      </c>
      <c r="H184" s="414"/>
      <c r="I184" s="356" t="s">
        <v>127</v>
      </c>
      <c r="J184" s="348">
        <v>0</v>
      </c>
      <c r="K184" s="325"/>
      <c r="L184" s="408">
        <f>+J184*G184</f>
        <v>0</v>
      </c>
      <c r="M184" s="343"/>
      <c r="N184" s="343"/>
      <c r="O184" s="325"/>
    </row>
    <row r="185" spans="2:15" ht="15.75" thickBot="1">
      <c r="B185" s="327">
        <f t="shared" si="9"/>
        <v>110</v>
      </c>
      <c r="C185" s="328"/>
      <c r="D185" s="389" t="s">
        <v>142</v>
      </c>
      <c r="E185" s="343" t="str">
        <f>"Worksheet H ln "&amp;'WS H Other Taxes'!A43&amp;"."&amp;'WS H Other Taxes'!K10&amp;""</f>
        <v>Worksheet H ln 24.(E)</v>
      </c>
      <c r="F185" s="325"/>
      <c r="G185" s="397">
        <f>+'WS H Other Taxes'!K43</f>
        <v>-561</v>
      </c>
      <c r="H185" s="414"/>
      <c r="I185" s="356" t="s">
        <v>751</v>
      </c>
      <c r="J185" s="348">
        <f>J75</f>
        <v>0.3108027886080969</v>
      </c>
      <c r="K185" s="325"/>
      <c r="L185" s="418">
        <f>+J185*G185</f>
        <v>-174.36036440914236</v>
      </c>
      <c r="M185" s="343"/>
      <c r="N185" s="343"/>
      <c r="O185" s="325"/>
    </row>
    <row r="186" spans="2:15">
      <c r="B186" s="327">
        <f>+B185+1</f>
        <v>111</v>
      </c>
      <c r="C186" s="328"/>
      <c r="D186" s="389" t="s">
        <v>33</v>
      </c>
      <c r="E186" s="355" t="str">
        <f>"(sum lns "&amp;B181&amp;" to "&amp;B185&amp;")"</f>
        <v>(sum lns 106 to 110)</v>
      </c>
      <c r="F186" s="325"/>
      <c r="G186" s="361">
        <f>SUM(G181:G185)</f>
        <v>480442904</v>
      </c>
      <c r="H186" s="343"/>
      <c r="I186" s="356"/>
      <c r="J186" s="443"/>
      <c r="K186" s="325"/>
      <c r="L186" s="408">
        <f>SUM(L181:L185)</f>
        <v>104352097.12416539</v>
      </c>
      <c r="M186" s="343"/>
      <c r="N186" s="343"/>
      <c r="O186" s="325"/>
    </row>
    <row r="187" spans="2:15">
      <c r="B187" s="327"/>
      <c r="C187" s="328"/>
      <c r="D187" s="389"/>
      <c r="E187" s="325"/>
      <c r="F187" s="325"/>
      <c r="G187" s="325"/>
      <c r="H187" s="343"/>
      <c r="I187" s="356"/>
      <c r="J187" s="443"/>
      <c r="K187" s="325"/>
      <c r="L187" s="325"/>
      <c r="M187" s="411"/>
      <c r="N187" s="343"/>
      <c r="O187" s="325"/>
    </row>
    <row r="188" spans="2:15">
      <c r="B188" s="327">
        <f>+B186+1</f>
        <v>112</v>
      </c>
      <c r="C188" s="328"/>
      <c r="D188" s="389" t="s">
        <v>337</v>
      </c>
      <c r="E188" s="343" t="s">
        <v>425</v>
      </c>
      <c r="F188" s="444"/>
      <c r="G188" s="325"/>
      <c r="H188" s="368"/>
      <c r="I188" s="422"/>
      <c r="K188" s="325"/>
      <c r="L188" s="445"/>
      <c r="M188" s="343"/>
      <c r="N188" s="343"/>
      <c r="O188" s="325"/>
    </row>
    <row r="189" spans="2:15">
      <c r="B189" s="327">
        <f t="shared" ref="B189:B196" si="10">+B188+1</f>
        <v>113</v>
      </c>
      <c r="C189" s="328"/>
      <c r="D189" s="446" t="s">
        <v>338</v>
      </c>
      <c r="E189" s="325"/>
      <c r="F189" s="447"/>
      <c r="G189" s="448">
        <f>IF(F339&gt;0,1-(((1-F340)*(1-F339))/(1-F340*F339*F341)),0)</f>
        <v>0.21971620999999997</v>
      </c>
      <c r="H189" s="449"/>
      <c r="I189" s="449"/>
      <c r="K189" s="450"/>
      <c r="L189" s="445"/>
      <c r="M189" s="343"/>
      <c r="N189" s="343"/>
      <c r="O189" s="325"/>
    </row>
    <row r="190" spans="2:15">
      <c r="B190" s="327">
        <f t="shared" si="10"/>
        <v>114</v>
      </c>
      <c r="C190" s="328"/>
      <c r="D190" s="351" t="s">
        <v>339</v>
      </c>
      <c r="E190" s="325"/>
      <c r="F190" s="447"/>
      <c r="G190" s="448">
        <f>IF(L255&gt;0,($G189/(1-$G189))*(1-$L255/$L258),0)</f>
        <v>0.19515114964280481</v>
      </c>
      <c r="H190" s="449"/>
      <c r="I190" s="449"/>
      <c r="K190" s="450"/>
      <c r="L190" s="445"/>
      <c r="M190" s="343"/>
      <c r="N190" s="343"/>
      <c r="O190" s="325"/>
    </row>
    <row r="191" spans="2:15">
      <c r="B191" s="327">
        <f t="shared" si="10"/>
        <v>115</v>
      </c>
      <c r="C191" s="328"/>
      <c r="D191" s="396" t="str">
        <f>"       where WCLTD=(ln "&amp;B255&amp;") and WACC = (ln "&amp;B258&amp;")"</f>
        <v xml:space="preserve">       where WCLTD=(ln 154) and WACC = (ln 157)</v>
      </c>
      <c r="E191" s="343"/>
      <c r="F191" s="451"/>
      <c r="G191" s="325"/>
      <c r="H191" s="449"/>
      <c r="I191" s="449"/>
      <c r="J191" s="452"/>
      <c r="K191" s="450"/>
      <c r="L191" s="453"/>
      <c r="M191" s="343"/>
      <c r="N191" s="343"/>
      <c r="O191" s="325"/>
    </row>
    <row r="192" spans="2:15">
      <c r="B192" s="327">
        <f t="shared" si="10"/>
        <v>116</v>
      </c>
      <c r="C192" s="328"/>
      <c r="D192" s="389" t="s">
        <v>428</v>
      </c>
      <c r="E192" s="454"/>
      <c r="F192" s="447"/>
      <c r="G192" s="325"/>
      <c r="H192" s="368"/>
      <c r="I192" s="422"/>
      <c r="J192" s="452"/>
      <c r="K192" s="450"/>
      <c r="L192" s="445"/>
      <c r="M192" s="343"/>
      <c r="N192" s="343"/>
      <c r="O192" s="325"/>
    </row>
    <row r="193" spans="2:15">
      <c r="B193" s="327">
        <f t="shared" si="10"/>
        <v>117</v>
      </c>
      <c r="C193" s="328"/>
      <c r="D193" s="455" t="str">
        <f>"      GRCF=1 / (1 - T)  = (from ln "&amp;B189&amp;")"</f>
        <v xml:space="preserve">      GRCF=1 / (1 - T)  = (from ln 113)</v>
      </c>
      <c r="E193" s="444"/>
      <c r="F193" s="444"/>
      <c r="G193" s="456">
        <f>IF(G189&gt;0,1/(1-G189),0)</f>
        <v>1.2815849987092516</v>
      </c>
      <c r="H193" s="368"/>
      <c r="I193" s="373"/>
      <c r="J193" s="457"/>
      <c r="K193" s="458"/>
      <c r="L193" s="459"/>
      <c r="M193" s="343"/>
      <c r="N193" s="343"/>
      <c r="O193" s="325"/>
    </row>
    <row r="194" spans="2:15">
      <c r="B194" s="327">
        <f t="shared" si="10"/>
        <v>118</v>
      </c>
      <c r="C194" s="328"/>
      <c r="D194" s="389" t="s">
        <v>340</v>
      </c>
      <c r="E194" s="409" t="s">
        <v>504</v>
      </c>
      <c r="F194" s="444"/>
      <c r="G194" s="835">
        <v>0</v>
      </c>
      <c r="H194" s="368"/>
      <c r="I194" s="373"/>
      <c r="J194" s="460"/>
      <c r="K194" s="458"/>
      <c r="L194" s="445"/>
      <c r="M194" s="347"/>
      <c r="N194" s="343"/>
      <c r="O194" s="325"/>
    </row>
    <row r="195" spans="2:15">
      <c r="B195" s="327">
        <f t="shared" si="10"/>
        <v>119</v>
      </c>
      <c r="C195" s="328"/>
      <c r="D195" s="351" t="s">
        <v>532</v>
      </c>
      <c r="E195" s="343" t="s">
        <v>545</v>
      </c>
      <c r="F195" s="461"/>
      <c r="G195" s="835">
        <v>-29669072</v>
      </c>
      <c r="H195" s="368"/>
      <c r="I195" s="347" t="s">
        <v>129</v>
      </c>
      <c r="J195" s="460"/>
      <c r="K195" s="458"/>
      <c r="L195" s="835">
        <v>-7762725</v>
      </c>
      <c r="M195" s="347"/>
      <c r="N195" s="343"/>
      <c r="O195" s="325"/>
    </row>
    <row r="196" spans="2:15">
      <c r="B196" s="327">
        <f t="shared" si="10"/>
        <v>120</v>
      </c>
      <c r="C196" s="328"/>
      <c r="D196" s="477" t="s">
        <v>741</v>
      </c>
      <c r="E196" s="343" t="s">
        <v>545</v>
      </c>
      <c r="F196" s="461"/>
      <c r="G196" s="835">
        <v>2189790.2300000004</v>
      </c>
      <c r="H196" s="368"/>
      <c r="I196" s="347" t="s">
        <v>129</v>
      </c>
      <c r="J196" s="460"/>
      <c r="K196" s="458"/>
      <c r="L196" s="835">
        <v>916825.0299999998</v>
      </c>
      <c r="M196" s="347"/>
      <c r="N196" s="343"/>
      <c r="O196" s="325"/>
    </row>
    <row r="197" spans="2:15">
      <c r="B197" s="327"/>
      <c r="C197" s="328"/>
      <c r="D197" s="396"/>
      <c r="E197" s="325"/>
      <c r="F197" s="447"/>
      <c r="G197" s="408"/>
      <c r="H197" s="368"/>
      <c r="I197" s="373"/>
      <c r="J197" s="462"/>
      <c r="K197" s="458"/>
      <c r="L197" s="445"/>
      <c r="M197" s="343"/>
      <c r="N197" s="343"/>
      <c r="O197" s="325"/>
    </row>
    <row r="198" spans="2:15">
      <c r="B198" s="327">
        <f>+B196+1</f>
        <v>121</v>
      </c>
      <c r="C198" s="328"/>
      <c r="D198" s="455" t="s">
        <v>341</v>
      </c>
      <c r="E198" s="461" t="str">
        <f>"(ln "&amp;B190&amp;" * ln "&amp;B205&amp;")"</f>
        <v>(ln 114 * ln 126)</v>
      </c>
      <c r="F198" s="463"/>
      <c r="G198" s="408">
        <f>+G190*G205</f>
        <v>76399836.984243914</v>
      </c>
      <c r="H198" s="368"/>
      <c r="I198" s="373"/>
      <c r="J198" s="462"/>
      <c r="K198" s="408"/>
      <c r="L198" s="408">
        <f>+L205*G190</f>
        <v>23772397.44309511</v>
      </c>
      <c r="M198" s="343"/>
      <c r="N198" s="343"/>
      <c r="O198" s="325"/>
    </row>
    <row r="199" spans="2:15">
      <c r="B199" s="327">
        <f>+B198+1</f>
        <v>122</v>
      </c>
      <c r="C199" s="328"/>
      <c r="D199" s="477" t="s">
        <v>342</v>
      </c>
      <c r="E199" s="461" t="str">
        <f>"(ln "&amp;B193&amp;" * ln "&amp;B194&amp;")"</f>
        <v>(ln 117 * ln 118)</v>
      </c>
      <c r="F199" s="461"/>
      <c r="G199" s="436">
        <f>G193*G194</f>
        <v>0</v>
      </c>
      <c r="H199" s="368"/>
      <c r="I199" s="347" t="s">
        <v>751</v>
      </c>
      <c r="J199" s="348">
        <f>J75</f>
        <v>0.3108027886080969</v>
      </c>
      <c r="K199" s="408"/>
      <c r="L199" s="436">
        <f>+G199*J199</f>
        <v>0</v>
      </c>
      <c r="M199" s="343"/>
      <c r="N199" s="343"/>
      <c r="O199" s="325"/>
    </row>
    <row r="200" spans="2:15">
      <c r="B200" s="327">
        <f>B199+1</f>
        <v>123</v>
      </c>
      <c r="C200" s="328"/>
      <c r="D200" s="477" t="s">
        <v>532</v>
      </c>
      <c r="E200" s="461" t="str">
        <f>"(ln "&amp;B193&amp;" * ln "&amp;B195&amp;")"</f>
        <v>(ln 117 * ln 119)</v>
      </c>
      <c r="F200" s="461"/>
      <c r="G200" s="436">
        <f>G195*G193</f>
        <v>-38023437.600824691</v>
      </c>
      <c r="H200" s="368"/>
      <c r="I200" s="464"/>
      <c r="J200" s="348"/>
      <c r="K200" s="408"/>
      <c r="L200" s="436">
        <f>L195*G193</f>
        <v>-9948591.9091052748</v>
      </c>
      <c r="M200" s="343"/>
      <c r="N200" s="343"/>
      <c r="O200" s="325"/>
    </row>
    <row r="201" spans="2:15">
      <c r="B201" s="327">
        <f>B200+1</f>
        <v>124</v>
      </c>
      <c r="C201" s="328"/>
      <c r="D201" s="477" t="s">
        <v>741</v>
      </c>
      <c r="E201" s="461" t="str">
        <f>"(ln "&amp;B193&amp;" * ln "&amp;B196&amp;")"</f>
        <v>(ln 117 * ln 120)</v>
      </c>
      <c r="F201" s="461"/>
      <c r="G201" s="465">
        <f>G196*G193</f>
        <v>2806402.3090880825</v>
      </c>
      <c r="H201" s="368"/>
      <c r="I201" s="464"/>
      <c r="J201" s="348"/>
      <c r="K201" s="408"/>
      <c r="L201" s="465">
        <f>L196*G193</f>
        <v>1174989.2048891592</v>
      </c>
      <c r="M201" s="343"/>
      <c r="N201" s="343"/>
      <c r="O201" s="325"/>
    </row>
    <row r="202" spans="2:15">
      <c r="B202" s="327"/>
      <c r="C202" s="328"/>
      <c r="D202" s="351"/>
      <c r="E202" s="461"/>
      <c r="F202" s="461"/>
      <c r="G202" s="436"/>
      <c r="H202" s="368"/>
      <c r="I202" s="464"/>
      <c r="J202" s="348"/>
      <c r="K202" s="408"/>
      <c r="L202" s="436"/>
      <c r="M202" s="343"/>
      <c r="N202" s="343"/>
      <c r="O202" s="325"/>
    </row>
    <row r="203" spans="2:15">
      <c r="B203" s="327">
        <f>+B201+1</f>
        <v>125</v>
      </c>
      <c r="C203" s="328"/>
      <c r="D203" s="446" t="s">
        <v>35</v>
      </c>
      <c r="E203" s="325" t="str">
        <f>"(sum lns "&amp;B198&amp;" to "&amp;B201&amp;")"</f>
        <v>(sum lns 121 to 124)</v>
      </c>
      <c r="F203" s="461"/>
      <c r="G203" s="375">
        <f>SUM(G198:G201)</f>
        <v>41182801.692507304</v>
      </c>
      <c r="H203" s="368"/>
      <c r="I203" s="373" t="s">
        <v>114</v>
      </c>
      <c r="J203" s="466"/>
      <c r="K203" s="408"/>
      <c r="L203" s="375">
        <f>SUM(L198:L201)</f>
        <v>14998794.738878995</v>
      </c>
      <c r="M203" s="343"/>
      <c r="N203" s="343"/>
      <c r="O203" s="325"/>
    </row>
    <row r="204" spans="2:15">
      <c r="B204" s="327"/>
      <c r="C204" s="328"/>
      <c r="D204" s="389"/>
      <c r="E204" s="325"/>
      <c r="F204" s="325"/>
      <c r="G204" s="325"/>
      <c r="H204" s="343"/>
      <c r="I204" s="356"/>
      <c r="J204" s="443"/>
      <c r="K204" s="325"/>
      <c r="L204" s="325"/>
      <c r="M204" s="343"/>
      <c r="N204" s="343"/>
      <c r="O204" s="325"/>
    </row>
    <row r="205" spans="2:15">
      <c r="B205" s="327">
        <f>+B203+1</f>
        <v>126</v>
      </c>
      <c r="C205" s="328"/>
      <c r="D205" s="455" t="s">
        <v>199</v>
      </c>
      <c r="E205" s="455" t="str">
        <f>"(ln "&amp;B125&amp;" * ln "&amp;B258&amp;")"</f>
        <v>(ln 68 * ln 157)</v>
      </c>
      <c r="F205" s="419"/>
      <c r="G205" s="408">
        <f>+$L258*G125</f>
        <v>391490581.14227086</v>
      </c>
      <c r="H205" s="343"/>
      <c r="I205" s="373"/>
      <c r="J205" s="408"/>
      <c r="K205" s="408"/>
      <c r="L205" s="408">
        <f>+L258*L125</f>
        <v>121815308.21933128</v>
      </c>
      <c r="M205" s="343"/>
      <c r="N205" s="467"/>
      <c r="O205" s="445"/>
    </row>
    <row r="206" spans="2:15">
      <c r="B206" s="327"/>
      <c r="C206" s="328"/>
      <c r="D206" s="446"/>
      <c r="G206" s="408"/>
      <c r="H206" s="408"/>
      <c r="I206" s="373"/>
      <c r="J206" s="373"/>
      <c r="K206" s="408"/>
      <c r="L206" s="408"/>
      <c r="M206" s="343"/>
      <c r="N206" s="318"/>
    </row>
    <row r="207" spans="2:15">
      <c r="B207" s="327">
        <f>+B205+1</f>
        <v>127</v>
      </c>
      <c r="C207" s="328"/>
      <c r="D207" s="468" t="s">
        <v>99</v>
      </c>
      <c r="F207" s="437"/>
      <c r="G207" s="361">
        <f>-'WS D IPP Credits'!C13</f>
        <v>0</v>
      </c>
      <c r="H207" s="361"/>
      <c r="I207" s="417" t="s">
        <v>129</v>
      </c>
      <c r="J207" s="348">
        <v>1</v>
      </c>
      <c r="K207" s="441"/>
      <c r="L207" s="408">
        <f>+J207*G207</f>
        <v>0</v>
      </c>
      <c r="M207" s="394"/>
      <c r="N207" s="318"/>
    </row>
    <row r="208" spans="2:15">
      <c r="B208" s="327"/>
      <c r="C208" s="328"/>
      <c r="D208" s="468"/>
      <c r="F208" s="437"/>
      <c r="G208" s="361"/>
      <c r="H208" s="361"/>
      <c r="I208" s="417"/>
      <c r="J208" s="348"/>
      <c r="K208" s="441"/>
      <c r="L208" s="408"/>
      <c r="M208" s="394"/>
      <c r="N208" s="318"/>
    </row>
    <row r="209" spans="2:15">
      <c r="B209" s="327">
        <f>+B207+1</f>
        <v>128</v>
      </c>
      <c r="C209" s="328"/>
      <c r="D209" s="46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8"/>
      <c r="F209" s="392"/>
      <c r="G209" s="361">
        <f>+'WS N - Sale of Plant Held'!O33</f>
        <v>0</v>
      </c>
      <c r="H209" s="361"/>
      <c r="I209" s="469"/>
      <c r="J209" s="348"/>
      <c r="K209" s="395"/>
      <c r="L209" s="361">
        <f>'WS N - Sale of Plant Held'!S33</f>
        <v>0</v>
      </c>
      <c r="M209" s="394"/>
      <c r="N209" s="318"/>
    </row>
    <row r="210" spans="2:15">
      <c r="B210" s="327"/>
      <c r="C210" s="328"/>
      <c r="D210" s="468"/>
      <c r="E210" s="318"/>
      <c r="F210" s="392"/>
      <c r="G210" s="361"/>
      <c r="H210" s="361"/>
      <c r="I210" s="469"/>
      <c r="J210" s="348"/>
      <c r="K210" s="395"/>
      <c r="L210" s="361"/>
      <c r="M210" s="394"/>
      <c r="N210" s="318"/>
    </row>
    <row r="211" spans="2:15">
      <c r="B211" s="327">
        <f>+B209+1</f>
        <v>129</v>
      </c>
      <c r="C211" s="328"/>
      <c r="D211" s="468" t="str">
        <f>" Tax Impact on Net Loss / (Gain) on Sales of Plant Held for Future Use (ln "&amp;B209&amp;" * ln"&amp;B190&amp;")"</f>
        <v xml:space="preserve"> Tax Impact on Net Loss / (Gain) on Sales of Plant Held for Future Use (ln 128 * ln114)</v>
      </c>
      <c r="E211" s="318"/>
      <c r="F211" s="392"/>
      <c r="G211" s="361">
        <f>-+G190*G209</f>
        <v>0</v>
      </c>
      <c r="H211" s="361"/>
      <c r="I211" s="469"/>
      <c r="J211" s="348"/>
      <c r="K211" s="395"/>
      <c r="L211" s="361">
        <f>L209*-G190</f>
        <v>0</v>
      </c>
      <c r="M211" s="394"/>
      <c r="N211" s="318"/>
    </row>
    <row r="212" spans="2:15" ht="15.75" thickBot="1">
      <c r="B212" s="327"/>
      <c r="C212" s="328"/>
      <c r="D212" s="389"/>
      <c r="G212" s="418"/>
      <c r="H212" s="470"/>
      <c r="I212" s="373"/>
      <c r="J212" s="373"/>
      <c r="K212" s="408"/>
      <c r="L212" s="418"/>
      <c r="M212" s="343"/>
      <c r="N212" s="318"/>
    </row>
    <row r="213" spans="2:15" ht="15.75" thickBot="1">
      <c r="B213" s="327">
        <f>+B211+1</f>
        <v>130</v>
      </c>
      <c r="C213" s="328"/>
      <c r="D213" s="313" t="s">
        <v>249</v>
      </c>
      <c r="G213" s="471">
        <f>+G207+G205+G203+G186+G177+G169+G209+G211</f>
        <v>1366543263.4955635</v>
      </c>
      <c r="L213" s="471">
        <f>+L207+L205+L203+L186+L177+L169+L209+L211</f>
        <v>376991605.33779609</v>
      </c>
      <c r="M213" s="343"/>
      <c r="N213" s="318"/>
    </row>
    <row r="214" spans="2:15" ht="15.75" thickTop="1">
      <c r="B214" s="327"/>
      <c r="C214" s="328"/>
      <c r="D214" s="319" t="str">
        <f>"    (sum lns "&amp;B169&amp;", "&amp;B177&amp;", "&amp;B186&amp;", "&amp;B203&amp;", "&amp;B205&amp;", "&amp;B207&amp;", "&amp;B209&amp;", "&amp;B211&amp;")"</f>
        <v xml:space="preserve">    (sum lns 96, 103, 111, 125, 126, 127, 128, 129)</v>
      </c>
      <c r="F214" s="472"/>
      <c r="M214" s="343"/>
      <c r="N214" s="318"/>
    </row>
    <row r="215" spans="2:15">
      <c r="B215" s="327"/>
      <c r="C215" s="328"/>
      <c r="F215" s="472"/>
      <c r="M215" s="343"/>
      <c r="N215" s="318"/>
    </row>
    <row r="216" spans="2:15">
      <c r="B216" s="327"/>
      <c r="C216" s="328"/>
      <c r="D216" s="319"/>
      <c r="F216" s="422" t="str">
        <f>F128</f>
        <v xml:space="preserve">AEP East Companies </v>
      </c>
      <c r="M216" s="421"/>
      <c r="N216" s="318"/>
    </row>
    <row r="217" spans="2:15">
      <c r="B217" s="327"/>
      <c r="C217" s="328"/>
      <c r="D217" s="319"/>
      <c r="F217" s="422" t="str">
        <f>F129</f>
        <v>Transmission Cost of Service Formula Rate</v>
      </c>
      <c r="M217" s="421"/>
      <c r="N217" s="318"/>
    </row>
    <row r="218" spans="2:15">
      <c r="B218" s="313"/>
      <c r="C218" s="328"/>
      <c r="F218" s="422" t="str">
        <f>F130</f>
        <v>Utilizing  Actual/Projected FERC Form 1 Data</v>
      </c>
      <c r="M218" s="378"/>
      <c r="N218" s="318"/>
    </row>
    <row r="219" spans="2:15">
      <c r="B219" s="327"/>
      <c r="C219" s="328"/>
      <c r="E219" s="422"/>
      <c r="F219" s="422"/>
      <c r="G219" s="422"/>
      <c r="H219" s="422"/>
      <c r="I219" s="422"/>
      <c r="J219" s="422"/>
      <c r="K219" s="422"/>
      <c r="M219" s="343"/>
      <c r="N219" s="318"/>
    </row>
    <row r="220" spans="2:15">
      <c r="B220" s="327"/>
      <c r="C220" s="328"/>
      <c r="E220" s="319"/>
      <c r="F220" s="422" t="str">
        <f>F132</f>
        <v>Ohio Power Company</v>
      </c>
      <c r="G220" s="319"/>
      <c r="H220" s="319"/>
      <c r="I220" s="319"/>
      <c r="J220" s="319"/>
      <c r="K220" s="319"/>
      <c r="L220" s="319"/>
      <c r="M220" s="364"/>
      <c r="N220" s="318"/>
    </row>
    <row r="221" spans="2:15">
      <c r="B221" s="327"/>
      <c r="C221" s="328"/>
      <c r="E221" s="319"/>
      <c r="F221" s="422"/>
      <c r="G221" s="319"/>
      <c r="H221" s="319"/>
      <c r="I221" s="319"/>
      <c r="J221" s="319"/>
      <c r="K221" s="319"/>
      <c r="L221" s="319"/>
      <c r="M221" s="364"/>
      <c r="N221" s="318"/>
    </row>
    <row r="222" spans="2:15" ht="15.75">
      <c r="B222" s="327"/>
      <c r="C222" s="328"/>
      <c r="F222" s="428" t="s">
        <v>40</v>
      </c>
      <c r="H222" s="322"/>
      <c r="I222" s="322"/>
      <c r="J222" s="322"/>
      <c r="K222" s="322"/>
      <c r="L222" s="322"/>
      <c r="M222" s="343"/>
      <c r="N222" s="318"/>
    </row>
    <row r="223" spans="2:15" ht="15.75">
      <c r="B223" s="327"/>
      <c r="C223" s="328"/>
      <c r="D223" s="473"/>
      <c r="E223" s="322"/>
      <c r="F223" s="322"/>
      <c r="G223" s="322"/>
      <c r="H223" s="322"/>
      <c r="I223" s="322"/>
      <c r="J223" s="322"/>
      <c r="K223" s="322"/>
      <c r="L223" s="322"/>
      <c r="M223" s="343"/>
      <c r="N223" s="318"/>
    </row>
    <row r="224" spans="2:15" ht="15.75">
      <c r="B224" s="327" t="s">
        <v>116</v>
      </c>
      <c r="C224" s="328"/>
      <c r="D224" s="473"/>
      <c r="E224" s="322"/>
      <c r="F224" s="322"/>
      <c r="G224" s="322"/>
      <c r="H224" s="322"/>
      <c r="I224" s="322"/>
      <c r="J224" s="322"/>
      <c r="K224" s="322"/>
      <c r="L224" s="322"/>
      <c r="M224" s="343"/>
      <c r="N224" s="318"/>
      <c r="O224" s="318"/>
    </row>
    <row r="225" spans="2:16" ht="15.75" thickBot="1">
      <c r="B225" s="334" t="s">
        <v>117</v>
      </c>
      <c r="C225" s="335"/>
      <c r="D225" s="364" t="s">
        <v>221</v>
      </c>
      <c r="E225" s="338"/>
      <c r="F225" s="338"/>
      <c r="G225" s="338"/>
      <c r="H225" s="338"/>
      <c r="I225" s="338"/>
      <c r="J225" s="338"/>
      <c r="K225" s="318"/>
      <c r="M225" s="343"/>
      <c r="N225" s="318"/>
      <c r="O225" s="318"/>
      <c r="P225" s="330"/>
    </row>
    <row r="226" spans="2:16">
      <c r="B226" s="327">
        <f>+B213+1</f>
        <v>131</v>
      </c>
      <c r="C226" s="328"/>
      <c r="D226" s="338" t="s">
        <v>166</v>
      </c>
      <c r="E226" s="474" t="str">
        <f>"(ln "&amp;B68&amp;")"</f>
        <v>(ln 21)</v>
      </c>
      <c r="F226" s="475"/>
      <c r="H226" s="476"/>
      <c r="I226" s="476"/>
      <c r="J226" s="476"/>
      <c r="K226" s="476"/>
      <c r="L226" s="346">
        <f>+G68</f>
        <v>2899748615.23</v>
      </c>
      <c r="M226" s="343"/>
      <c r="N226" s="318"/>
      <c r="O226" s="318"/>
      <c r="P226" s="330"/>
    </row>
    <row r="227" spans="2:16">
      <c r="B227" s="327">
        <f>+B226+1</f>
        <v>132</v>
      </c>
      <c r="C227" s="328"/>
      <c r="D227" s="338" t="str">
        <f>"  Less transmission plant excluded from PJM Tariff  (Worksheet A, ln "&amp;'WS A - RB Support'!A62&amp;", Col. "&amp;'WS A - RB Support'!E47&amp;") (Note P)"</f>
        <v xml:space="preserve">  Less transmission plant excluded from PJM Tariff  (Worksheet A, ln 42, Col. (d)) (Note P)</v>
      </c>
      <c r="E227" s="477"/>
      <c r="F227" s="477"/>
      <c r="G227" s="478"/>
      <c r="H227" s="477"/>
      <c r="I227" s="477"/>
      <c r="J227" s="477"/>
      <c r="K227" s="477"/>
      <c r="L227" s="835">
        <f>'WS A - RB Support'!E62</f>
        <v>12072.649230769232</v>
      </c>
      <c r="M227" s="343"/>
      <c r="N227" s="318"/>
      <c r="P227" s="330"/>
    </row>
    <row r="228" spans="2:16" ht="15.75" thickBot="1">
      <c r="B228" s="327">
        <f>+B227+1</f>
        <v>133</v>
      </c>
      <c r="C228" s="328"/>
      <c r="D228" s="475" t="str">
        <f>"  Less transmission plant included in OATT Ancillary Services (Worksheet A, ln "&amp;'WS A - RB Support'!A62&amp;", Col. "&amp;'WS A - RB Support'!C47&amp;")  (Note Q)"</f>
        <v xml:space="preserve">  Less transmission plant included in OATT Ancillary Services (Worksheet A, ln 42, Col. (b))  (Note Q)</v>
      </c>
      <c r="E228" s="475"/>
      <c r="F228" s="475"/>
      <c r="G228" s="388"/>
      <c r="H228" s="476"/>
      <c r="I228" s="476"/>
      <c r="J228" s="388"/>
      <c r="K228" s="476"/>
      <c r="L228" s="479">
        <f>'WS A - RB Support'!C62</f>
        <v>0</v>
      </c>
      <c r="M228" s="343"/>
      <c r="N228" s="318"/>
      <c r="P228" s="330"/>
    </row>
    <row r="229" spans="2:16">
      <c r="B229" s="327">
        <f>+B228+1</f>
        <v>134</v>
      </c>
      <c r="C229" s="328"/>
      <c r="D229" s="338" t="s">
        <v>222</v>
      </c>
      <c r="E229" s="480" t="str">
        <f>"(ln "&amp;B226&amp;" - ln "&amp;B227&amp;" - ln "&amp;B228&amp;")"</f>
        <v>(ln 131 - ln 132 - ln 133)</v>
      </c>
      <c r="F229" s="475"/>
      <c r="H229" s="476"/>
      <c r="I229" s="476"/>
      <c r="J229" s="388"/>
      <c r="K229" s="476"/>
      <c r="L229" s="346">
        <f>L226-L227-L228</f>
        <v>2899736542.5807691</v>
      </c>
      <c r="M229" s="343"/>
      <c r="N229" s="318"/>
      <c r="P229" s="330"/>
    </row>
    <row r="230" spans="2:16">
      <c r="B230" s="327"/>
      <c r="C230" s="328"/>
      <c r="D230" s="318"/>
      <c r="E230" s="475"/>
      <c r="F230" s="475"/>
      <c r="G230" s="388"/>
      <c r="H230" s="476"/>
      <c r="I230" s="476"/>
      <c r="J230" s="388"/>
      <c r="K230" s="476"/>
      <c r="L230" s="477"/>
      <c r="M230" s="343"/>
      <c r="N230" s="318"/>
      <c r="P230" s="330"/>
    </row>
    <row r="231" spans="2:16" ht="15.75">
      <c r="B231" s="327">
        <f>+B229+1</f>
        <v>135</v>
      </c>
      <c r="C231" s="328"/>
      <c r="D231" s="338" t="s">
        <v>223</v>
      </c>
      <c r="E231" s="481" t="str">
        <f>"(ln "&amp;B229&amp;" / ln "&amp;B226&amp;")"</f>
        <v>(ln 134 / ln 131)</v>
      </c>
      <c r="F231" s="482"/>
      <c r="H231" s="483"/>
      <c r="I231" s="484"/>
      <c r="J231" s="484"/>
      <c r="K231" s="485" t="s">
        <v>143</v>
      </c>
      <c r="L231" s="486">
        <f>IF(L226&gt;0,L229/L226,0)</f>
        <v>0.99999583665660963</v>
      </c>
      <c r="M231" s="343"/>
      <c r="N231" s="318"/>
      <c r="P231" s="330"/>
    </row>
    <row r="232" spans="2:16" ht="15.75">
      <c r="B232" s="327"/>
      <c r="C232" s="328"/>
      <c r="D232" s="487"/>
      <c r="E232" s="338"/>
      <c r="F232" s="338"/>
      <c r="G232" s="488"/>
      <c r="H232" s="338"/>
      <c r="I232" s="353"/>
      <c r="J232" s="338"/>
      <c r="K232" s="338"/>
      <c r="L232" s="322"/>
      <c r="M232" s="343"/>
      <c r="N232" s="318"/>
    </row>
    <row r="233" spans="2:16" ht="30">
      <c r="B233" s="327">
        <f>B231+1</f>
        <v>136</v>
      </c>
      <c r="C233" s="353"/>
      <c r="D233" s="364" t="s">
        <v>41</v>
      </c>
      <c r="E233" s="347" t="s">
        <v>343</v>
      </c>
      <c r="F233" s="347" t="s">
        <v>184</v>
      </c>
      <c r="G233" s="489" t="s">
        <v>214</v>
      </c>
      <c r="H233" s="423" t="s">
        <v>118</v>
      </c>
      <c r="I233" s="356"/>
      <c r="J233" s="325"/>
      <c r="K233" s="325"/>
      <c r="L233" s="325"/>
      <c r="M233" s="343"/>
      <c r="N233" s="318"/>
    </row>
    <row r="234" spans="2:16">
      <c r="B234" s="327">
        <f t="shared" ref="B234:B239" si="11">+B233+1</f>
        <v>137</v>
      </c>
      <c r="C234" s="353"/>
      <c r="D234" s="364" t="s">
        <v>126</v>
      </c>
      <c r="E234" s="325" t="s">
        <v>431</v>
      </c>
      <c r="F234" s="837">
        <v>10513</v>
      </c>
      <c r="G234" s="837">
        <v>27253</v>
      </c>
      <c r="H234" s="390">
        <f>+F234+G234</f>
        <v>37766</v>
      </c>
      <c r="I234" s="356" t="s">
        <v>127</v>
      </c>
      <c r="J234" s="348">
        <v>0</v>
      </c>
      <c r="K234" s="490"/>
      <c r="L234" s="408">
        <f>(F234+G234)*J234</f>
        <v>0</v>
      </c>
      <c r="M234" s="343"/>
      <c r="N234" s="318"/>
    </row>
    <row r="235" spans="2:16">
      <c r="B235" s="327">
        <f t="shared" si="11"/>
        <v>138</v>
      </c>
      <c r="C235" s="353"/>
      <c r="D235" s="396" t="s">
        <v>128</v>
      </c>
      <c r="E235" s="343" t="s">
        <v>12</v>
      </c>
      <c r="F235" s="837">
        <v>150730</v>
      </c>
      <c r="G235" s="837">
        <v>13046435</v>
      </c>
      <c r="H235" s="390">
        <f>+F235+G235</f>
        <v>13197165</v>
      </c>
      <c r="I235" s="353" t="s">
        <v>120</v>
      </c>
      <c r="J235" s="348">
        <f>L231</f>
        <v>0.99999583665660963</v>
      </c>
      <c r="K235" s="490"/>
      <c r="L235" s="408">
        <f>(F235+G235)*J235</f>
        <v>13197110.055670325</v>
      </c>
      <c r="M235" s="343"/>
      <c r="N235" s="318"/>
    </row>
    <row r="236" spans="2:16">
      <c r="B236" s="327">
        <f t="shared" si="11"/>
        <v>139</v>
      </c>
      <c r="C236" s="353"/>
      <c r="D236" s="396" t="s">
        <v>226</v>
      </c>
      <c r="E236" s="325" t="s">
        <v>466</v>
      </c>
      <c r="F236" s="837">
        <v>0</v>
      </c>
      <c r="G236" s="837">
        <v>0</v>
      </c>
      <c r="H236" s="390">
        <f t="shared" ref="H236:H237" si="12">+F236+G236</f>
        <v>0</v>
      </c>
      <c r="I236" s="356" t="s">
        <v>127</v>
      </c>
      <c r="J236" s="348">
        <v>0</v>
      </c>
      <c r="K236" s="490"/>
      <c r="L236" s="408">
        <f>(F236+G236)*J236</f>
        <v>0</v>
      </c>
      <c r="M236" s="343"/>
      <c r="N236" s="318"/>
    </row>
    <row r="237" spans="2:16">
      <c r="B237" s="327">
        <f t="shared" si="11"/>
        <v>140</v>
      </c>
      <c r="C237" s="353"/>
      <c r="D237" s="396" t="s">
        <v>130</v>
      </c>
      <c r="E237" s="325" t="s">
        <v>429</v>
      </c>
      <c r="F237" s="837">
        <v>53002618</v>
      </c>
      <c r="G237" s="837">
        <v>8326964</v>
      </c>
      <c r="H237" s="390">
        <f t="shared" si="12"/>
        <v>61329582</v>
      </c>
      <c r="I237" s="356" t="s">
        <v>127</v>
      </c>
      <c r="J237" s="348">
        <v>0</v>
      </c>
      <c r="K237" s="490"/>
      <c r="L237" s="408">
        <f>(F237+G237)*J237</f>
        <v>0</v>
      </c>
      <c r="M237" s="343"/>
      <c r="N237" s="318"/>
    </row>
    <row r="238" spans="2:16" ht="15.75" thickBot="1">
      <c r="B238" s="327">
        <f t="shared" si="11"/>
        <v>141</v>
      </c>
      <c r="C238" s="353"/>
      <c r="D238" s="396" t="s">
        <v>201</v>
      </c>
      <c r="E238" s="325" t="s">
        <v>430</v>
      </c>
      <c r="F238" s="838">
        <v>13582208</v>
      </c>
      <c r="G238" s="838">
        <v>15205583</v>
      </c>
      <c r="H238" s="491">
        <f>+F238+G238</f>
        <v>28787791</v>
      </c>
      <c r="I238" s="356" t="s">
        <v>127</v>
      </c>
      <c r="J238" s="348">
        <v>0</v>
      </c>
      <c r="K238" s="490"/>
      <c r="L238" s="418">
        <f>(F238+G238)*J238</f>
        <v>0</v>
      </c>
      <c r="M238" s="343"/>
      <c r="N238" s="318"/>
    </row>
    <row r="239" spans="2:16" ht="15.75">
      <c r="B239" s="327">
        <f t="shared" si="11"/>
        <v>142</v>
      </c>
      <c r="C239" s="353"/>
      <c r="D239" s="396" t="s">
        <v>118</v>
      </c>
      <c r="E239" s="396" t="str">
        <f>"(sum lns "&amp;B234&amp;" to "&amp;B238&amp;")"</f>
        <v>(sum lns 137 to 141)</v>
      </c>
      <c r="F239" s="343">
        <f>SUM(F234:F238)</f>
        <v>66746069</v>
      </c>
      <c r="G239" s="343">
        <f>SUM(G234:G238)</f>
        <v>36606235</v>
      </c>
      <c r="H239" s="343">
        <f>SUM(H234:H238)</f>
        <v>103352304</v>
      </c>
      <c r="I239" s="356"/>
      <c r="J239" s="325"/>
      <c r="K239" s="325"/>
      <c r="L239" s="408">
        <f>SUM(L234:L238)</f>
        <v>13197110.055670325</v>
      </c>
      <c r="M239" s="492"/>
      <c r="N239" s="318"/>
    </row>
    <row r="240" spans="2:16">
      <c r="B240" s="327"/>
      <c r="C240" s="353"/>
      <c r="D240" s="396" t="s">
        <v>114</v>
      </c>
      <c r="E240" s="343" t="s">
        <v>114</v>
      </c>
      <c r="F240" s="343"/>
      <c r="G240" s="318"/>
      <c r="H240" s="343"/>
      <c r="I240" s="422"/>
      <c r="M240" s="318"/>
      <c r="N240" s="318"/>
    </row>
    <row r="241" spans="1:21" ht="15.75">
      <c r="B241" s="327">
        <f>B239+1</f>
        <v>143</v>
      </c>
      <c r="C241" s="328"/>
      <c r="D241" s="389" t="s">
        <v>42</v>
      </c>
      <c r="E241" s="343"/>
      <c r="F241" s="343"/>
      <c r="G241" s="343"/>
      <c r="H241" s="343"/>
      <c r="I241" s="422"/>
      <c r="K241" s="493" t="s">
        <v>43</v>
      </c>
      <c r="L241" s="494">
        <f>L239/(F239+G239)</f>
        <v>0.12769052594773625</v>
      </c>
      <c r="M241" s="318"/>
      <c r="N241" s="318"/>
    </row>
    <row r="242" spans="1:21">
      <c r="B242" s="327"/>
      <c r="C242" s="328"/>
      <c r="D242" s="389"/>
      <c r="E242" s="343"/>
      <c r="F242" s="343"/>
      <c r="G242" s="343"/>
      <c r="H242" s="343"/>
      <c r="I242" s="356"/>
      <c r="J242" s="325"/>
      <c r="K242" s="325"/>
      <c r="L242" s="325"/>
      <c r="M242" s="343"/>
      <c r="N242" s="318"/>
    </row>
    <row r="243" spans="1:21" ht="15.75">
      <c r="B243" s="327"/>
      <c r="C243" s="328"/>
      <c r="D243" s="389"/>
      <c r="E243" s="472"/>
      <c r="F243" s="325"/>
      <c r="H243" s="325"/>
      <c r="I243" s="325"/>
      <c r="J243" s="325"/>
      <c r="K243" s="387"/>
      <c r="L243" s="495"/>
      <c r="M243" s="343"/>
      <c r="N243" s="318"/>
    </row>
    <row r="244" spans="1:21" ht="15.75" thickBot="1">
      <c r="B244" s="327">
        <f>+B241+1</f>
        <v>144</v>
      </c>
      <c r="C244" s="353"/>
      <c r="D244" s="396" t="s">
        <v>198</v>
      </c>
      <c r="E244" s="343"/>
      <c r="F244" s="343"/>
      <c r="G244" s="343"/>
      <c r="H244" s="343"/>
      <c r="I244" s="343"/>
      <c r="J244" s="343"/>
      <c r="K244" s="343"/>
      <c r="L244" s="496" t="s">
        <v>144</v>
      </c>
      <c r="M244" s="343"/>
      <c r="N244" s="318"/>
    </row>
    <row r="245" spans="1:21">
      <c r="B245" s="327">
        <f t="shared" ref="B245:B252" si="13">+B244+1</f>
        <v>145</v>
      </c>
      <c r="C245" s="353"/>
      <c r="D245" s="343" t="s">
        <v>219</v>
      </c>
      <c r="E245" s="318" t="str">
        <f>"(Worksheet M, ln. "&amp;'WS M - Cost of Capital'!A56&amp;", col. "&amp;'WS M - Cost of Capital'!E47&amp;")"</f>
        <v>(Worksheet M, ln. 37, col. (d))</v>
      </c>
      <c r="F245" s="343"/>
      <c r="G245" s="343"/>
      <c r="H245" s="343"/>
      <c r="I245" s="343"/>
      <c r="J245" s="343"/>
      <c r="K245" s="343"/>
      <c r="L245" s="361">
        <f>'WS M - Cost of Capital'!E56</f>
        <v>127084962.69</v>
      </c>
      <c r="M245" s="343"/>
      <c r="N245" s="318"/>
    </row>
    <row r="246" spans="1:21">
      <c r="B246" s="327">
        <f t="shared" si="13"/>
        <v>146</v>
      </c>
      <c r="C246" s="353"/>
      <c r="D246" s="343" t="s">
        <v>220</v>
      </c>
      <c r="E246" s="318" t="str">
        <f>"(Worksheet M, ln. "&amp;'WS M - Cost of Capital'!A103&amp;")"</f>
        <v>(Worksheet M, ln. 71)</v>
      </c>
      <c r="F246" s="343"/>
      <c r="G246" s="343"/>
      <c r="H246" s="343"/>
      <c r="I246" s="343"/>
      <c r="J246" s="343"/>
      <c r="K246" s="343"/>
      <c r="L246" s="361">
        <f>'WS M - Cost of Capital'!E103</f>
        <v>0</v>
      </c>
      <c r="M246" s="343"/>
      <c r="N246" s="318"/>
    </row>
    <row r="247" spans="1:21">
      <c r="B247" s="327">
        <f t="shared" si="13"/>
        <v>147</v>
      </c>
      <c r="C247" s="353"/>
      <c r="D247" s="497" t="s">
        <v>242</v>
      </c>
      <c r="E247" s="343"/>
      <c r="F247" s="343"/>
      <c r="G247" s="343"/>
      <c r="H247" s="412"/>
      <c r="I247" s="343"/>
      <c r="J247" s="343"/>
      <c r="K247" s="343"/>
      <c r="L247" s="361"/>
      <c r="M247" s="343"/>
      <c r="N247" s="318"/>
    </row>
    <row r="248" spans="1:21">
      <c r="B248" s="327">
        <f t="shared" si="13"/>
        <v>148</v>
      </c>
      <c r="C248" s="353"/>
      <c r="D248" s="343" t="s">
        <v>243</v>
      </c>
      <c r="E248" s="523" t="str">
        <f>"(Worksheet M, ln. "&amp;'WS M - Cost of Capital'!A23&amp;", col. "&amp;'WS M - Cost of Capital'!C8&amp;")"</f>
        <v>(Worksheet M, ln. 14, col. (b))</v>
      </c>
      <c r="F248" s="343"/>
      <c r="G248" s="338"/>
      <c r="H248" s="414"/>
      <c r="I248" s="343"/>
      <c r="J248" s="343"/>
      <c r="K248" s="343"/>
      <c r="L248" s="361">
        <f>'WS M - Cost of Capital'!C23</f>
        <v>2777245996.9857702</v>
      </c>
      <c r="M248" s="343"/>
      <c r="N248" s="318"/>
    </row>
    <row r="249" spans="1:21">
      <c r="B249" s="327">
        <f t="shared" si="13"/>
        <v>149</v>
      </c>
      <c r="C249" s="353"/>
      <c r="D249" s="343" t="s">
        <v>368</v>
      </c>
      <c r="E249" s="523" t="str">
        <f>"(Worksheet M, ln. "&amp;'WS M - Cost of Capital'!A23&amp;", col. "&amp;'WS M - Cost of Capital'!D8&amp;")"</f>
        <v>(Worksheet M, ln. 14, col. (c))</v>
      </c>
      <c r="F249" s="343"/>
      <c r="G249" s="343"/>
      <c r="H249" s="414"/>
      <c r="I249" s="343"/>
      <c r="J249" s="343"/>
      <c r="K249" s="343"/>
      <c r="L249" s="390">
        <f>'WS M - Cost of Capital'!D23</f>
        <v>0</v>
      </c>
      <c r="M249" s="343"/>
      <c r="N249" s="318"/>
    </row>
    <row r="250" spans="1:21">
      <c r="B250" s="327">
        <f>+B249+1</f>
        <v>150</v>
      </c>
      <c r="C250" s="353"/>
      <c r="D250" s="343" t="s">
        <v>361</v>
      </c>
      <c r="E250" s="523" t="str">
        <f>"(Worksheet M, ln. "&amp;'WS M - Cost of Capital'!A23&amp;", col. "&amp;'WS M - Cost of Capital'!E8&amp;")"</f>
        <v>(Worksheet M, ln. 14, col. (d))</v>
      </c>
      <c r="F250" s="343"/>
      <c r="G250" s="343"/>
      <c r="H250" s="414"/>
      <c r="I250" s="343"/>
      <c r="J250" s="343"/>
      <c r="K250" s="343"/>
      <c r="L250" s="390">
        <f>'WS M - Cost of Capital'!E23</f>
        <v>4915703.46</v>
      </c>
      <c r="M250" s="343"/>
      <c r="N250" s="318"/>
    </row>
    <row r="251" spans="1:21" ht="15.75" thickBot="1">
      <c r="B251" s="327">
        <f t="shared" si="13"/>
        <v>151</v>
      </c>
      <c r="C251" s="353"/>
      <c r="D251" s="343" t="s">
        <v>367</v>
      </c>
      <c r="E251" s="523" t="str">
        <f>"(Worksheet M, ln. "&amp;'WS M - Cost of Capital'!A23&amp;", col. "&amp;'WS M - Cost of Capital'!F8&amp;")"</f>
        <v>(Worksheet M, ln. 14, col. (e))</v>
      </c>
      <c r="F251" s="343"/>
      <c r="G251" s="343"/>
      <c r="H251" s="414"/>
      <c r="I251" s="343"/>
      <c r="J251" s="415"/>
      <c r="K251" s="343"/>
      <c r="L251" s="491">
        <f>'WS M - Cost of Capital'!F23</f>
        <v>24856.915384615371</v>
      </c>
      <c r="M251" s="343"/>
      <c r="N251" s="318"/>
    </row>
    <row r="252" spans="1:21">
      <c r="B252" s="327">
        <f t="shared" si="13"/>
        <v>152</v>
      </c>
      <c r="C252" s="353"/>
      <c r="D252" s="313" t="s">
        <v>244</v>
      </c>
      <c r="E252" s="343" t="str">
        <f>"(ln "&amp;B248&amp;" - ln "&amp;B249&amp;" - ln "&amp;B250&amp;" - ln "&amp;B251&amp;")"</f>
        <v>(ln 148 - ln 149 - ln 150 - ln 151)</v>
      </c>
      <c r="F252" s="498"/>
      <c r="G252" s="318"/>
      <c r="H252" s="338"/>
      <c r="I252" s="338"/>
      <c r="J252" s="338"/>
      <c r="K252" s="338"/>
      <c r="L252" s="361">
        <f>+L248-L249-L250-L251</f>
        <v>2772305436.6103854</v>
      </c>
      <c r="M252" s="325"/>
    </row>
    <row r="253" spans="1:21" ht="15.75">
      <c r="A253" s="318"/>
      <c r="B253" s="352"/>
      <c r="C253" s="353"/>
      <c r="D253" s="396"/>
      <c r="E253" s="343"/>
      <c r="F253" s="343"/>
      <c r="G253" s="1302"/>
      <c r="H253" s="1624" t="s">
        <v>957</v>
      </c>
      <c r="I253" s="1624"/>
      <c r="J253" s="499" t="s">
        <v>145</v>
      </c>
      <c r="K253" s="343"/>
      <c r="L253" s="343"/>
      <c r="M253" s="325"/>
    </row>
    <row r="254" spans="1:21" ht="15.75" thickBot="1">
      <c r="A254" s="318"/>
      <c r="B254" s="352">
        <f>+B252+1</f>
        <v>153</v>
      </c>
      <c r="C254" s="353"/>
      <c r="D254" s="396"/>
      <c r="E254" s="318"/>
      <c r="F254" s="343"/>
      <c r="G254" s="500" t="s">
        <v>144</v>
      </c>
      <c r="H254" s="500" t="s">
        <v>959</v>
      </c>
      <c r="I254" s="496" t="s">
        <v>958</v>
      </c>
      <c r="J254" s="501" t="s">
        <v>427</v>
      </c>
      <c r="K254" s="343"/>
      <c r="L254" s="500" t="s">
        <v>147</v>
      </c>
      <c r="M254" s="325"/>
      <c r="N254" s="319"/>
      <c r="O254" s="319"/>
      <c r="P254" s="319"/>
      <c r="Q254" s="319"/>
      <c r="R254" s="319"/>
      <c r="S254" s="319"/>
      <c r="T254" s="319"/>
      <c r="U254" s="319"/>
    </row>
    <row r="255" spans="1:21">
      <c r="A255" s="318"/>
      <c r="B255" s="352">
        <f>+B254+1</f>
        <v>154</v>
      </c>
      <c r="C255" s="353"/>
      <c r="D255" s="318" t="str">
        <f>"  Long Term Debt  (Note T) Worksheet M, ln "&amp;'WS M - Cost of Capital'!A42&amp;", col. (g), ln "&amp;'WS M - Cost of Capital'!A58&amp;", col. "&amp;'WS M - Cost of Capital'!E47&amp;")"</f>
        <v xml:space="preserve">  Long Term Debt  (Note T) Worksheet M, ln 28, col. (g), ln 38, col. (d))</v>
      </c>
      <c r="E255" s="318"/>
      <c r="F255" s="343"/>
      <c r="G255" s="361">
        <f>'WS M - Cost of Capital'!H42</f>
        <v>2935414981.1961536</v>
      </c>
      <c r="H255" s="502">
        <f>IF($G$258&gt;0,G255/$G$258,0)</f>
        <v>0.51428850159486705</v>
      </c>
      <c r="I255" s="502">
        <f>IF(H257&gt;E260,1-I256-I257,H255)</f>
        <v>0.51428850159486705</v>
      </c>
      <c r="J255" s="415">
        <f>'WS M - Cost of Capital'!E58</f>
        <v>4.3293695611723727E-2</v>
      </c>
      <c r="K255" s="318"/>
      <c r="L255" s="504">
        <f>I255*J255</f>
        <v>2.2265449844657666E-2</v>
      </c>
      <c r="M255" s="505"/>
      <c r="N255" s="319"/>
      <c r="O255" s="319"/>
      <c r="P255" s="319"/>
      <c r="Q255" s="319"/>
      <c r="R255" s="319"/>
      <c r="S255" s="319"/>
      <c r="T255" s="319"/>
      <c r="U255" s="319"/>
    </row>
    <row r="256" spans="1:21" ht="15.75" thickBot="1">
      <c r="A256" s="318"/>
      <c r="B256" s="352">
        <f>+B255+1</f>
        <v>155</v>
      </c>
      <c r="C256" s="353"/>
      <c r="D256" s="396" t="str">
        <f>"  Preferred Stock (ln "&amp;B249&amp;")"</f>
        <v xml:space="preserve">  Preferred Stock (ln 149)</v>
      </c>
      <c r="E256" s="318"/>
      <c r="F256" s="318"/>
      <c r="G256" s="361">
        <f>+L249</f>
        <v>0</v>
      </c>
      <c r="H256" s="502">
        <f>IF($G$258&gt;0,G256/$G$258,0)</f>
        <v>0</v>
      </c>
      <c r="I256" s="502">
        <f>H256</f>
        <v>0</v>
      </c>
      <c r="J256" s="503">
        <f>IF(G256&gt;0,L246/G256,0)</f>
        <v>0</v>
      </c>
      <c r="K256" s="318"/>
      <c r="L256" s="506">
        <f>I256*J256</f>
        <v>0</v>
      </c>
      <c r="M256" s="325"/>
    </row>
    <row r="257" spans="1:21" ht="15.75" thickBot="1">
      <c r="A257" s="318"/>
      <c r="B257" s="352">
        <f>+B256+1</f>
        <v>156</v>
      </c>
      <c r="C257" s="353"/>
      <c r="D257" s="396" t="str">
        <f>"  Common Stock (ln "&amp;B252&amp;")"</f>
        <v xml:space="preserve">  Common Stock (ln 152)</v>
      </c>
      <c r="E257" s="318"/>
      <c r="F257" s="318"/>
      <c r="G257" s="397">
        <f>+L252</f>
        <v>2772305436.6103854</v>
      </c>
      <c r="H257" s="1301">
        <f>IF($G$258&gt;0,G257/$G$258,0)</f>
        <v>0.48571149840513289</v>
      </c>
      <c r="I257" s="502">
        <f>IF(H257&gt;E260,E260,H257)</f>
        <v>0.48571149840513289</v>
      </c>
      <c r="J257" s="839">
        <v>0.10349999999999999</v>
      </c>
      <c r="K257" s="318"/>
      <c r="L257" s="507">
        <f>I257*J257</f>
        <v>5.0271140084931248E-2</v>
      </c>
      <c r="M257" s="325"/>
    </row>
    <row r="258" spans="1:21" ht="15.75">
      <c r="A258" s="318"/>
      <c r="B258" s="352">
        <f>+B257+1</f>
        <v>157</v>
      </c>
      <c r="C258" s="353"/>
      <c r="D258" s="396" t="str">
        <f>" Total (Sum lns "&amp;B255&amp;" to "&amp;B257&amp;")"</f>
        <v xml:space="preserve"> Total (Sum lns 154 to 156)</v>
      </c>
      <c r="E258" s="318"/>
      <c r="F258" s="318"/>
      <c r="G258" s="361">
        <f>G257+G256+G255</f>
        <v>5707720417.8065395</v>
      </c>
      <c r="H258" s="318"/>
      <c r="I258" s="343"/>
      <c r="J258" s="508"/>
      <c r="K258" s="410" t="s">
        <v>25</v>
      </c>
      <c r="L258" s="509">
        <f>SUM(L255:L257)</f>
        <v>7.2536589929588918E-2</v>
      </c>
      <c r="M258" s="510"/>
    </row>
    <row r="259" spans="1:21" ht="15.75">
      <c r="A259" s="318"/>
      <c r="B259" s="352"/>
      <c r="C259" s="353"/>
      <c r="D259" s="396"/>
      <c r="E259" s="318"/>
      <c r="F259" s="318"/>
      <c r="G259" s="361"/>
      <c r="H259" s="318"/>
      <c r="I259" s="343"/>
      <c r="J259" s="508"/>
      <c r="K259" s="410"/>
      <c r="L259" s="509"/>
      <c r="M259" s="510"/>
    </row>
    <row r="260" spans="1:21" ht="15.75">
      <c r="A260" s="318"/>
      <c r="B260" s="352">
        <f>B258+1</f>
        <v>158</v>
      </c>
      <c r="C260" s="517"/>
      <c r="D260" s="517" t="s">
        <v>956</v>
      </c>
      <c r="E260" s="1303">
        <v>0.55000000000000004</v>
      </c>
      <c r="F260" s="318"/>
      <c r="G260" s="361"/>
      <c r="H260" s="318"/>
      <c r="I260" s="343"/>
      <c r="J260" s="508"/>
      <c r="K260" s="410"/>
      <c r="L260" s="509"/>
      <c r="M260" s="510"/>
    </row>
    <row r="261" spans="1:21">
      <c r="B261" s="327"/>
      <c r="C261" s="368"/>
      <c r="D261" s="2" t="s">
        <v>114</v>
      </c>
      <c r="E261" s="1300" t="s">
        <v>114</v>
      </c>
      <c r="G261" s="330"/>
      <c r="H261" s="330"/>
      <c r="I261" s="330"/>
      <c r="J261" s="325"/>
      <c r="K261" s="322"/>
      <c r="L261" s="325"/>
      <c r="M261" s="322"/>
      <c r="N261" s="338"/>
      <c r="O261" s="338"/>
      <c r="P261" s="338"/>
      <c r="Q261" s="338"/>
      <c r="R261" s="338"/>
      <c r="S261" s="338"/>
      <c r="T261" s="338"/>
      <c r="U261" s="338"/>
    </row>
    <row r="262" spans="1:21" ht="15.75">
      <c r="B262" s="420"/>
      <c r="C262" s="328"/>
      <c r="D262" s="315"/>
      <c r="E262" s="315"/>
      <c r="F262" s="422" t="str">
        <f>F216</f>
        <v xml:space="preserve">AEP East Companies </v>
      </c>
      <c r="G262" s="316"/>
      <c r="H262" s="325"/>
      <c r="I262" s="325"/>
      <c r="J262" s="325"/>
      <c r="K262" s="322"/>
      <c r="L262" s="325"/>
      <c r="M262" s="511"/>
      <c r="N262" s="338"/>
      <c r="O262" s="338"/>
      <c r="P262" s="338"/>
      <c r="Q262" s="338"/>
      <c r="R262" s="338"/>
      <c r="S262" s="338"/>
      <c r="T262" s="338"/>
      <c r="U262" s="338"/>
    </row>
    <row r="263" spans="1:21">
      <c r="B263" s="420"/>
      <c r="C263" s="328"/>
      <c r="D263" s="512"/>
      <c r="E263" s="328"/>
      <c r="F263" s="422" t="str">
        <f>F217</f>
        <v>Transmission Cost of Service Formula Rate</v>
      </c>
      <c r="G263" s="325"/>
      <c r="H263" s="325"/>
      <c r="I263" s="325"/>
      <c r="J263" s="325"/>
      <c r="K263" s="322"/>
      <c r="L263" s="341"/>
      <c r="M263" s="378"/>
      <c r="N263" s="338"/>
      <c r="O263" s="338"/>
      <c r="P263" s="338"/>
      <c r="Q263" s="338"/>
      <c r="R263" s="338"/>
      <c r="S263" s="338"/>
      <c r="T263" s="338"/>
      <c r="U263" s="338"/>
    </row>
    <row r="264" spans="1:21" ht="15.75">
      <c r="B264" s="420"/>
      <c r="C264" s="328"/>
      <c r="D264" s="512"/>
      <c r="E264" s="428"/>
      <c r="F264" s="422" t="str">
        <f>F218</f>
        <v>Utilizing  Actual/Projected FERC Form 1 Data</v>
      </c>
      <c r="G264" s="325"/>
      <c r="H264" s="325"/>
      <c r="I264" s="325"/>
      <c r="J264" s="325"/>
      <c r="K264" s="322"/>
      <c r="L264" s="341"/>
      <c r="M264" s="511"/>
      <c r="N264" s="338"/>
      <c r="O264" s="338"/>
      <c r="P264" s="338"/>
      <c r="Q264" s="338"/>
      <c r="R264" s="338"/>
      <c r="S264" s="338"/>
      <c r="T264" s="338"/>
      <c r="U264" s="338"/>
    </row>
    <row r="265" spans="1:21" ht="15.75">
      <c r="B265" s="327"/>
      <c r="C265" s="328"/>
      <c r="D265" s="512"/>
      <c r="E265" s="428"/>
      <c r="F265" s="422"/>
      <c r="G265" s="325"/>
      <c r="H265" s="325"/>
      <c r="I265" s="325"/>
      <c r="J265" s="325"/>
      <c r="K265" s="322"/>
      <c r="L265" s="341"/>
      <c r="M265" s="318"/>
      <c r="N265" s="338"/>
      <c r="O265" s="338"/>
      <c r="P265" s="338"/>
      <c r="Q265" s="338"/>
      <c r="R265" s="338"/>
      <c r="S265" s="338"/>
      <c r="T265" s="338"/>
      <c r="U265" s="338"/>
    </row>
    <row r="266" spans="1:21" ht="15.75">
      <c r="B266" s="327"/>
      <c r="C266" s="328"/>
      <c r="D266" s="512"/>
      <c r="E266" s="428"/>
      <c r="F266" s="422" t="str">
        <f>F220</f>
        <v>Ohio Power Company</v>
      </c>
      <c r="G266" s="325"/>
      <c r="H266" s="325"/>
      <c r="I266" s="325"/>
      <c r="J266" s="325"/>
      <c r="K266" s="322"/>
      <c r="L266" s="341"/>
      <c r="M266" s="318"/>
      <c r="N266" s="338"/>
      <c r="O266" s="338"/>
      <c r="P266" s="338"/>
      <c r="Q266" s="338"/>
      <c r="R266" s="338"/>
      <c r="S266" s="338"/>
      <c r="T266" s="338"/>
      <c r="U266" s="338"/>
    </row>
    <row r="267" spans="1:21" ht="15.75">
      <c r="B267" s="327"/>
      <c r="C267" s="328"/>
      <c r="D267" s="512"/>
      <c r="E267" s="428"/>
      <c r="F267" s="422"/>
      <c r="G267" s="325"/>
      <c r="H267" s="325"/>
      <c r="I267" s="325"/>
      <c r="J267" s="325"/>
      <c r="K267" s="322"/>
      <c r="L267" s="341"/>
      <c r="M267" s="318"/>
      <c r="N267" s="338"/>
      <c r="O267" s="338"/>
      <c r="P267" s="338"/>
      <c r="Q267" s="338"/>
      <c r="R267" s="338"/>
      <c r="S267" s="338"/>
      <c r="T267" s="338"/>
      <c r="U267" s="338"/>
    </row>
    <row r="268" spans="1:21" ht="15.75">
      <c r="B268" s="513" t="s">
        <v>176</v>
      </c>
      <c r="C268" s="335"/>
      <c r="D268" s="364"/>
      <c r="E268" s="338"/>
      <c r="F268" s="513" t="s">
        <v>175</v>
      </c>
      <c r="G268" s="343"/>
      <c r="H268" s="343"/>
      <c r="I268" s="343"/>
      <c r="J268" s="343"/>
      <c r="K268" s="338"/>
      <c r="L268" s="343"/>
      <c r="M268" s="318"/>
      <c r="N268" s="338"/>
      <c r="O268" s="338"/>
      <c r="P268" s="338"/>
      <c r="Q268" s="338"/>
      <c r="R268" s="338"/>
      <c r="S268" s="338"/>
      <c r="T268" s="338"/>
      <c r="U268" s="338"/>
    </row>
    <row r="269" spans="1:21">
      <c r="C269" s="335"/>
      <c r="L269" s="341"/>
      <c r="M269" s="318"/>
      <c r="N269" s="338"/>
      <c r="O269" s="338"/>
      <c r="P269" s="338"/>
      <c r="Q269" s="338"/>
      <c r="R269" s="338"/>
      <c r="S269" s="338"/>
      <c r="T269" s="338"/>
      <c r="U269" s="338"/>
    </row>
    <row r="270" spans="1:21">
      <c r="B270" s="327"/>
      <c r="C270" s="328"/>
      <c r="D270" s="319" t="s">
        <v>5</v>
      </c>
      <c r="E270" s="353"/>
      <c r="F270" s="353"/>
      <c r="G270" s="343"/>
      <c r="H270" s="343"/>
      <c r="I270" s="343"/>
      <c r="J270" s="343"/>
      <c r="K270" s="338"/>
      <c r="L270" s="343"/>
      <c r="M270" s="338"/>
      <c r="N270" s="338"/>
      <c r="O270" s="338"/>
      <c r="P270" s="338"/>
      <c r="Q270" s="338"/>
      <c r="R270" s="338"/>
      <c r="S270" s="338"/>
      <c r="T270" s="338"/>
      <c r="U270" s="338"/>
    </row>
    <row r="271" spans="1:21">
      <c r="B271" s="313"/>
      <c r="D271" s="364"/>
      <c r="E271" s="338"/>
      <c r="F271" s="338"/>
      <c r="G271" s="343"/>
      <c r="H271" s="343"/>
      <c r="I271" s="343"/>
      <c r="J271" s="343"/>
      <c r="K271" s="338"/>
      <c r="L271" s="343"/>
      <c r="M271" s="338"/>
      <c r="N271" s="338"/>
      <c r="O271" s="338"/>
      <c r="P271" s="338"/>
      <c r="Q271" s="338"/>
      <c r="R271" s="338"/>
      <c r="S271" s="338"/>
      <c r="T271" s="338"/>
      <c r="U271" s="338"/>
    </row>
    <row r="272" spans="1:21" ht="3.75" customHeight="1">
      <c r="B272" s="313"/>
      <c r="D272" s="364"/>
      <c r="E272" s="338"/>
      <c r="F272" s="338"/>
      <c r="G272" s="343"/>
      <c r="H272" s="343"/>
      <c r="I272" s="343"/>
      <c r="J272" s="343"/>
      <c r="K272" s="338"/>
      <c r="L272" s="343"/>
      <c r="M272" s="338"/>
      <c r="N272" s="338"/>
      <c r="O272" s="338"/>
      <c r="P272" s="338"/>
      <c r="Q272" s="338"/>
      <c r="R272" s="338"/>
      <c r="S272" s="338"/>
      <c r="T272" s="338"/>
      <c r="U272" s="338"/>
    </row>
    <row r="273" spans="2:21">
      <c r="B273" s="514" t="s">
        <v>148</v>
      </c>
      <c r="C273" s="335"/>
      <c r="D273" s="364" t="s">
        <v>477</v>
      </c>
      <c r="E273" s="338"/>
      <c r="F273" s="338"/>
      <c r="G273" s="343"/>
      <c r="H273" s="343"/>
      <c r="I273" s="343"/>
      <c r="J273" s="343"/>
      <c r="K273" s="338"/>
      <c r="L273" s="343"/>
      <c r="M273" s="338"/>
      <c r="N273" s="338"/>
      <c r="O273" s="338"/>
      <c r="P273" s="338"/>
      <c r="Q273" s="338"/>
      <c r="R273" s="338"/>
      <c r="S273" s="338"/>
      <c r="T273" s="338"/>
      <c r="U273" s="338"/>
    </row>
    <row r="274" spans="2:21">
      <c r="B274" s="514"/>
      <c r="C274" s="423"/>
      <c r="D274" s="364" t="s">
        <v>369</v>
      </c>
      <c r="E274" s="338"/>
      <c r="F274" s="338"/>
      <c r="G274" s="338"/>
      <c r="H274" s="338"/>
      <c r="I274" s="338"/>
      <c r="J274" s="338"/>
      <c r="K274" s="338"/>
      <c r="L274" s="338"/>
      <c r="M274" s="338"/>
      <c r="N274" s="338"/>
      <c r="O274" s="338"/>
      <c r="P274" s="338"/>
      <c r="Q274" s="338"/>
      <c r="R274" s="338"/>
      <c r="S274" s="338"/>
      <c r="T274" s="338"/>
      <c r="U274" s="338"/>
    </row>
    <row r="275" spans="2:21">
      <c r="B275" s="515"/>
      <c r="C275" s="318"/>
      <c r="D275" s="313" t="s">
        <v>370</v>
      </c>
      <c r="E275" s="516"/>
      <c r="F275" s="516"/>
      <c r="G275" s="338"/>
      <c r="H275" s="338"/>
      <c r="I275" s="338"/>
      <c r="J275" s="338"/>
      <c r="K275" s="338"/>
      <c r="L275" s="338"/>
      <c r="M275" s="338"/>
      <c r="N275" s="338"/>
      <c r="O275" s="338"/>
      <c r="P275" s="338"/>
      <c r="Q275" s="338"/>
      <c r="R275" s="338"/>
      <c r="S275" s="338"/>
      <c r="T275" s="338"/>
      <c r="U275" s="338"/>
    </row>
    <row r="276" spans="2:21">
      <c r="B276" s="515"/>
      <c r="C276" s="318"/>
      <c r="D276" s="364" t="s">
        <v>478</v>
      </c>
      <c r="E276" s="338"/>
      <c r="F276" s="338"/>
      <c r="G276" s="338"/>
      <c r="H276" s="338"/>
      <c r="I276" s="338"/>
      <c r="J276" s="338"/>
      <c r="K276" s="338"/>
      <c r="L276" s="338"/>
      <c r="M276" s="338"/>
      <c r="N276" s="338"/>
      <c r="O276" s="338"/>
      <c r="P276" s="338"/>
      <c r="Q276" s="338"/>
      <c r="R276" s="338"/>
      <c r="S276" s="338"/>
      <c r="T276" s="338"/>
      <c r="U276" s="338"/>
    </row>
    <row r="277" spans="2:21">
      <c r="B277" s="352"/>
      <c r="C277" s="353"/>
      <c r="D277" s="364" t="s">
        <v>479</v>
      </c>
      <c r="E277" s="338"/>
      <c r="F277" s="338"/>
      <c r="G277" s="338"/>
      <c r="H277" s="338"/>
      <c r="I277" s="338"/>
      <c r="J277" s="338"/>
      <c r="K277" s="338"/>
      <c r="L277" s="338"/>
      <c r="M277" s="338"/>
      <c r="N277" s="338"/>
      <c r="O277" s="338"/>
      <c r="P277" s="338"/>
      <c r="Q277" s="338"/>
      <c r="R277" s="338"/>
      <c r="S277" s="338"/>
      <c r="T277" s="338"/>
      <c r="U277" s="338"/>
    </row>
    <row r="278" spans="2:21">
      <c r="B278" s="352"/>
      <c r="C278" s="353"/>
      <c r="D278" s="364" t="s">
        <v>371</v>
      </c>
      <c r="E278" s="338"/>
      <c r="F278" s="338"/>
      <c r="G278" s="338"/>
      <c r="H278" s="338"/>
      <c r="I278" s="338"/>
      <c r="J278" s="338"/>
      <c r="K278" s="338"/>
      <c r="L278" s="338"/>
      <c r="M278" s="338"/>
      <c r="N278" s="338"/>
      <c r="O278" s="338"/>
      <c r="P278" s="338"/>
      <c r="Q278" s="338"/>
      <c r="R278" s="338"/>
      <c r="S278" s="338"/>
      <c r="T278" s="338"/>
      <c r="U278" s="338"/>
    </row>
    <row r="279" spans="2:21">
      <c r="B279" s="352"/>
      <c r="C279" s="353"/>
      <c r="D279" s="364" t="s">
        <v>372</v>
      </c>
      <c r="E279" s="338"/>
      <c r="F279" s="338"/>
      <c r="G279" s="338"/>
      <c r="H279" s="338"/>
      <c r="I279" s="338"/>
      <c r="J279" s="338"/>
      <c r="K279" s="338"/>
      <c r="L279" s="338"/>
      <c r="M279" s="338"/>
      <c r="N279" s="338"/>
      <c r="O279" s="338"/>
      <c r="P279" s="338"/>
      <c r="Q279" s="338"/>
      <c r="R279" s="338"/>
      <c r="S279" s="338"/>
      <c r="T279" s="338"/>
      <c r="U279" s="338"/>
    </row>
    <row r="280" spans="2:21" ht="45" customHeight="1">
      <c r="B280" s="352"/>
      <c r="C280" s="353"/>
      <c r="D280" s="1647" t="s">
        <v>575</v>
      </c>
      <c r="E280" s="1647"/>
      <c r="F280" s="1647"/>
      <c r="G280" s="1647"/>
      <c r="H280" s="1647"/>
      <c r="I280" s="1647"/>
      <c r="J280" s="1647"/>
      <c r="K280" s="1647"/>
      <c r="L280" s="1647"/>
      <c r="M280" s="338"/>
      <c r="N280" s="338"/>
      <c r="O280" s="338"/>
      <c r="P280" s="338"/>
      <c r="Q280" s="338"/>
      <c r="R280" s="338"/>
      <c r="S280" s="338"/>
      <c r="T280" s="338"/>
      <c r="U280" s="338"/>
    </row>
    <row r="281" spans="2:21">
      <c r="B281" s="352"/>
      <c r="C281" s="353"/>
      <c r="D281" s="364" t="s">
        <v>487</v>
      </c>
      <c r="E281" s="338"/>
      <c r="F281" s="338"/>
      <c r="G281" s="338"/>
      <c r="H281" s="338"/>
      <c r="I281" s="338"/>
      <c r="J281" s="338"/>
      <c r="K281" s="338"/>
      <c r="L281" s="338"/>
      <c r="M281" s="338"/>
      <c r="N281" s="338"/>
      <c r="O281" s="338"/>
      <c r="P281" s="338"/>
      <c r="Q281" s="338"/>
      <c r="R281" s="338"/>
      <c r="S281" s="338"/>
      <c r="T281" s="338"/>
      <c r="U281" s="338"/>
    </row>
    <row r="282" spans="2:21">
      <c r="B282" s="352"/>
      <c r="C282" s="353"/>
      <c r="D282" s="517"/>
      <c r="E282" s="338"/>
      <c r="F282" s="338"/>
      <c r="G282" s="338"/>
      <c r="H282" s="338"/>
      <c r="I282" s="338"/>
      <c r="J282" s="338"/>
      <c r="K282" s="338"/>
      <c r="L282" s="364"/>
      <c r="M282" s="338"/>
      <c r="N282" s="338"/>
      <c r="O282" s="338"/>
      <c r="P282" s="338"/>
      <c r="Q282" s="338"/>
      <c r="R282" s="338"/>
      <c r="S282" s="338"/>
      <c r="T282" s="338"/>
      <c r="U282" s="338"/>
    </row>
    <row r="283" spans="2:21" ht="15" customHeight="1">
      <c r="B283" s="352" t="s">
        <v>149</v>
      </c>
      <c r="C283" s="353"/>
      <c r="D283" s="1625" t="s">
        <v>593</v>
      </c>
      <c r="E283" s="1626"/>
      <c r="F283" s="1626"/>
      <c r="G283" s="1626"/>
      <c r="H283" s="1626"/>
      <c r="I283" s="1626"/>
      <c r="J283" s="1626"/>
      <c r="K283" s="1626"/>
      <c r="L283" s="364"/>
      <c r="M283" s="338"/>
      <c r="N283" s="338"/>
      <c r="O283" s="338"/>
      <c r="P283" s="338"/>
      <c r="Q283" s="338"/>
      <c r="R283" s="338"/>
      <c r="S283" s="338"/>
      <c r="T283" s="338"/>
      <c r="U283" s="338"/>
    </row>
    <row r="284" spans="2:21">
      <c r="B284" s="352"/>
      <c r="C284" s="353"/>
      <c r="D284" s="1626"/>
      <c r="E284" s="1626"/>
      <c r="F284" s="1626"/>
      <c r="G284" s="1626"/>
      <c r="H284" s="1626"/>
      <c r="I284" s="1626"/>
      <c r="J284" s="1626"/>
      <c r="K284" s="1626"/>
      <c r="L284" s="364"/>
      <c r="M284" s="338"/>
      <c r="N284" s="338"/>
      <c r="O284" s="338"/>
      <c r="P284" s="338"/>
      <c r="Q284" s="338"/>
      <c r="R284" s="338"/>
      <c r="S284" s="338"/>
      <c r="T284" s="338"/>
      <c r="U284" s="338"/>
    </row>
    <row r="285" spans="2:21">
      <c r="E285" s="338"/>
      <c r="F285" s="338"/>
      <c r="G285" s="338"/>
      <c r="H285" s="338"/>
      <c r="I285" s="338"/>
      <c r="J285" s="338"/>
      <c r="K285" s="338"/>
      <c r="L285" s="338"/>
      <c r="M285" s="338"/>
      <c r="N285" s="338"/>
      <c r="O285" s="338"/>
      <c r="P285" s="338"/>
      <c r="Q285" s="338"/>
      <c r="R285" s="338"/>
      <c r="S285" s="338"/>
      <c r="T285" s="338"/>
      <c r="U285" s="338"/>
    </row>
    <row r="286" spans="2:21">
      <c r="B286" s="352" t="s">
        <v>150</v>
      </c>
      <c r="C286" s="353"/>
      <c r="D286" s="518" t="s">
        <v>862</v>
      </c>
      <c r="E286" s="338"/>
      <c r="F286" s="338"/>
      <c r="G286" s="338"/>
      <c r="H286" s="338"/>
      <c r="I286" s="338"/>
      <c r="J286" s="338"/>
      <c r="K286" s="338"/>
      <c r="L286" s="338"/>
      <c r="M286" s="338"/>
      <c r="N286" s="338"/>
      <c r="O286" s="338"/>
      <c r="P286" s="338"/>
      <c r="Q286" s="338"/>
      <c r="R286" s="338"/>
      <c r="S286" s="338"/>
      <c r="T286" s="338"/>
      <c r="U286" s="338"/>
    </row>
    <row r="287" spans="2:21">
      <c r="B287" s="352"/>
      <c r="C287" s="353"/>
      <c r="D287" s="518"/>
      <c r="E287" s="338"/>
      <c r="F287" s="338"/>
      <c r="G287" s="338"/>
      <c r="H287" s="338"/>
      <c r="I287" s="338"/>
      <c r="J287" s="338"/>
      <c r="K287" s="338"/>
      <c r="L287" s="338"/>
      <c r="M287" s="338"/>
      <c r="N287" s="338"/>
      <c r="O287" s="338"/>
      <c r="P287" s="338"/>
      <c r="Q287" s="338"/>
      <c r="R287" s="338"/>
      <c r="S287" s="338"/>
      <c r="T287" s="338"/>
      <c r="U287" s="338"/>
    </row>
    <row r="288" spans="2:21">
      <c r="B288" s="352" t="s">
        <v>151</v>
      </c>
      <c r="C288" s="353"/>
      <c r="D288" s="1647" t="s">
        <v>577</v>
      </c>
      <c r="E288" s="1647"/>
      <c r="F288" s="1647"/>
      <c r="G288" s="1647"/>
      <c r="H288" s="1647"/>
      <c r="I288" s="1647"/>
      <c r="J288" s="1647"/>
      <c r="K288" s="1647"/>
      <c r="L288" s="1647"/>
      <c r="M288" s="338"/>
      <c r="N288" s="338"/>
      <c r="O288" s="338"/>
      <c r="P288" s="364"/>
      <c r="Q288" s="364"/>
      <c r="R288" s="338"/>
      <c r="S288" s="338"/>
      <c r="T288" s="338"/>
      <c r="U288" s="338"/>
    </row>
    <row r="289" spans="2:21">
      <c r="B289" s="352"/>
      <c r="C289" s="353"/>
      <c r="D289" s="1647"/>
      <c r="E289" s="1647"/>
      <c r="F289" s="1647"/>
      <c r="G289" s="1647"/>
      <c r="H289" s="1647"/>
      <c r="I289" s="1647"/>
      <c r="J289" s="1647"/>
      <c r="K289" s="1647"/>
      <c r="L289" s="1647"/>
      <c r="M289" s="338"/>
      <c r="N289" s="338"/>
      <c r="O289" s="338"/>
      <c r="P289" s="364"/>
      <c r="Q289" s="364"/>
      <c r="R289" s="338"/>
      <c r="S289" s="338"/>
      <c r="T289" s="338"/>
      <c r="U289" s="338"/>
    </row>
    <row r="290" spans="2:21">
      <c r="B290" s="352"/>
      <c r="C290" s="353"/>
      <c r="D290" s="364" t="s">
        <v>578</v>
      </c>
      <c r="E290" s="338"/>
      <c r="F290" s="338"/>
      <c r="G290" s="338"/>
      <c r="H290" s="338"/>
      <c r="I290" s="338"/>
      <c r="J290" s="338"/>
      <c r="K290" s="338"/>
      <c r="L290" s="475"/>
      <c r="M290" s="338"/>
      <c r="N290" s="338"/>
      <c r="O290" s="338"/>
      <c r="P290" s="364"/>
      <c r="Q290" s="364"/>
      <c r="R290" s="338"/>
      <c r="S290" s="338"/>
      <c r="T290" s="338"/>
      <c r="U290" s="338"/>
    </row>
    <row r="291" spans="2:21">
      <c r="B291" s="352"/>
      <c r="C291" s="353"/>
      <c r="D291" s="364" t="s">
        <v>579</v>
      </c>
      <c r="E291" s="338"/>
      <c r="F291" s="338"/>
      <c r="G291" s="338"/>
      <c r="H291" s="338"/>
      <c r="I291" s="338"/>
      <c r="J291" s="338"/>
      <c r="K291" s="338"/>
      <c r="L291" s="475"/>
      <c r="M291" s="338"/>
      <c r="N291" s="338"/>
      <c r="O291" s="338"/>
      <c r="P291" s="364"/>
      <c r="Q291" s="338"/>
      <c r="R291" s="338"/>
      <c r="S291" s="338"/>
      <c r="T291" s="338"/>
      <c r="U291" s="338"/>
    </row>
    <row r="292" spans="2:21" ht="30" customHeight="1">
      <c r="B292" s="352"/>
      <c r="C292" s="353"/>
      <c r="D292" s="1647" t="s">
        <v>576</v>
      </c>
      <c r="E292" s="1647"/>
      <c r="F292" s="1647"/>
      <c r="G292" s="1647"/>
      <c r="H292" s="1647"/>
      <c r="I292" s="1647"/>
      <c r="J292" s="1647"/>
      <c r="K292" s="1647"/>
      <c r="L292" s="1647"/>
      <c r="M292" s="338"/>
      <c r="N292" s="338"/>
      <c r="O292" s="338"/>
      <c r="P292" s="364"/>
      <c r="Q292" s="338"/>
      <c r="R292" s="338"/>
      <c r="S292" s="338"/>
      <c r="T292" s="338"/>
      <c r="U292" s="338"/>
    </row>
    <row r="293" spans="2:21" ht="21.75" customHeight="1">
      <c r="B293" s="352" t="s">
        <v>152</v>
      </c>
      <c r="C293" s="364"/>
      <c r="D293" s="36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9"/>
      <c r="F293" s="519"/>
      <c r="G293" s="519"/>
      <c r="H293" s="519"/>
      <c r="I293" s="519"/>
      <c r="J293" s="519"/>
      <c r="K293" s="519"/>
      <c r="L293" s="519"/>
      <c r="M293" s="338"/>
      <c r="N293" s="338"/>
      <c r="O293" s="338"/>
      <c r="P293" s="338"/>
      <c r="Q293" s="338"/>
      <c r="R293" s="338"/>
      <c r="S293" s="338"/>
      <c r="T293" s="338"/>
      <c r="U293" s="338"/>
    </row>
    <row r="294" spans="2:21">
      <c r="B294" s="352"/>
      <c r="C294" s="364"/>
      <c r="D294" s="52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8"/>
      <c r="F294" s="398"/>
      <c r="G294" s="398"/>
      <c r="H294" s="398"/>
      <c r="I294" s="398"/>
      <c r="J294" s="398"/>
      <c r="K294" s="398"/>
      <c r="L294" s="398"/>
      <c r="M294" s="338"/>
      <c r="N294" s="338"/>
      <c r="O294" s="338"/>
      <c r="P294" s="338"/>
      <c r="Q294" s="338"/>
      <c r="R294" s="338"/>
      <c r="S294" s="338"/>
      <c r="T294" s="338"/>
      <c r="U294" s="338"/>
    </row>
    <row r="295" spans="2:21">
      <c r="B295" s="352"/>
      <c r="C295" s="364"/>
      <c r="D295" s="521" t="str">
        <f>+"2)  Costs of Transmission of Electricity by Others, as described in Note H."</f>
        <v>2)  Costs of Transmission of Electricity by Others, as described in Note H.</v>
      </c>
      <c r="E295" s="519"/>
      <c r="F295" s="519"/>
      <c r="G295" s="519"/>
      <c r="H295" s="519"/>
      <c r="I295" s="519"/>
      <c r="J295" s="519"/>
      <c r="K295" s="519"/>
      <c r="L295" s="519"/>
      <c r="M295" s="338"/>
      <c r="N295" s="338"/>
      <c r="O295" s="338"/>
      <c r="P295" s="338"/>
      <c r="Q295" s="338"/>
      <c r="R295" s="338"/>
      <c r="S295" s="338"/>
      <c r="T295" s="338"/>
      <c r="U295" s="338"/>
    </row>
    <row r="296" spans="2:21">
      <c r="B296" s="352"/>
      <c r="C296" s="364"/>
      <c r="D296" s="520" t="str">
        <f>+"3)  The impact of state regulatory deferrals and amortizations, as shown on line  "&amp;B148&amp;""</f>
        <v>3)  The impact of state regulatory deferrals and amortizations, as shown on line  77</v>
      </c>
      <c r="E296" s="398"/>
      <c r="F296" s="398"/>
      <c r="G296" s="398"/>
      <c r="H296" s="398"/>
      <c r="I296" s="398"/>
      <c r="J296" s="398"/>
      <c r="K296" s="398"/>
      <c r="L296" s="398"/>
      <c r="M296" s="338"/>
      <c r="N296" s="338"/>
      <c r="O296" s="338"/>
      <c r="P296" s="338"/>
      <c r="Q296" s="338"/>
      <c r="R296" s="338"/>
      <c r="S296" s="338"/>
      <c r="T296" s="338"/>
      <c r="U296" s="338"/>
    </row>
    <row r="297" spans="2:21">
      <c r="B297" s="352"/>
      <c r="C297" s="398"/>
      <c r="D297" s="521" t="str">
        <f>"4) All A&amp;G Expenses, as shown on line "&amp;B165&amp;"."</f>
        <v>4) All A&amp;G Expenses, as shown on line 93.</v>
      </c>
      <c r="E297" s="519"/>
      <c r="F297" s="519"/>
      <c r="G297" s="519"/>
      <c r="H297" s="519"/>
      <c r="I297" s="519"/>
      <c r="J297" s="519"/>
      <c r="K297" s="519"/>
      <c r="L297" s="519"/>
      <c r="M297" s="338"/>
      <c r="N297" s="338"/>
      <c r="O297" s="338"/>
      <c r="P297" s="338"/>
      <c r="Q297" s="338"/>
      <c r="R297" s="338"/>
      <c r="S297" s="338"/>
      <c r="T297" s="338"/>
      <c r="U297" s="338"/>
    </row>
    <row r="298" spans="2:21">
      <c r="B298" s="352"/>
      <c r="C298" s="353"/>
      <c r="D298" s="520"/>
      <c r="E298" s="522"/>
      <c r="F298" s="522"/>
      <c r="G298" s="522"/>
      <c r="H298" s="522"/>
      <c r="I298" s="522"/>
      <c r="J298" s="522"/>
      <c r="K298" s="522"/>
      <c r="L298" s="522"/>
      <c r="M298" s="338"/>
      <c r="N298" s="338"/>
      <c r="O298" s="338"/>
      <c r="P298" s="338"/>
      <c r="Q298" s="338"/>
      <c r="R298" s="338"/>
      <c r="S298" s="338"/>
      <c r="T298" s="338"/>
      <c r="U298" s="338"/>
    </row>
    <row r="299" spans="2:21">
      <c r="B299" s="514" t="s">
        <v>153</v>
      </c>
      <c r="C299" s="423"/>
      <c r="D299" s="52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3"/>
      <c r="F299" s="523"/>
      <c r="G299" s="523"/>
      <c r="H299" s="523"/>
      <c r="I299" s="523"/>
      <c r="J299" s="523"/>
      <c r="K299" s="523"/>
      <c r="L299" s="523"/>
      <c r="M299" s="338"/>
      <c r="N299" s="338"/>
      <c r="O299" s="338"/>
      <c r="P299" s="338"/>
      <c r="Q299" s="338"/>
      <c r="R299" s="338"/>
      <c r="S299" s="338"/>
      <c r="T299" s="338"/>
      <c r="U299" s="338"/>
    </row>
    <row r="300" spans="2:21">
      <c r="B300" s="515"/>
      <c r="C300" s="318"/>
      <c r="D300" s="523" t="s">
        <v>218</v>
      </c>
      <c r="E300" s="523"/>
      <c r="F300" s="523"/>
      <c r="G300" s="523"/>
      <c r="H300" s="523"/>
      <c r="I300" s="523"/>
      <c r="J300" s="523"/>
      <c r="K300" s="523"/>
      <c r="L300" s="523"/>
      <c r="M300" s="338"/>
      <c r="N300" s="338"/>
      <c r="O300" s="338"/>
      <c r="P300" s="338"/>
      <c r="Q300" s="338"/>
      <c r="R300" s="338"/>
      <c r="S300" s="338"/>
      <c r="T300" s="338"/>
      <c r="U300" s="338"/>
    </row>
    <row r="301" spans="2:21">
      <c r="B301" s="515"/>
      <c r="C301" s="318"/>
      <c r="D301" s="523" t="str">
        <f>"expense is included on line "&amp;B207&amp;"."</f>
        <v>expense is included on line 127.</v>
      </c>
      <c r="E301" s="523"/>
      <c r="F301" s="523"/>
      <c r="G301" s="523"/>
      <c r="H301" s="523"/>
      <c r="I301" s="523"/>
      <c r="J301" s="523"/>
      <c r="K301" s="523"/>
      <c r="L301" s="523"/>
      <c r="M301" s="338"/>
      <c r="N301" s="338"/>
      <c r="O301" s="338"/>
      <c r="P301" s="338"/>
      <c r="Q301" s="338"/>
      <c r="R301" s="338"/>
      <c r="S301" s="338"/>
      <c r="T301" s="338"/>
      <c r="U301" s="338"/>
    </row>
    <row r="302" spans="2:21">
      <c r="B302" s="515"/>
      <c r="C302" s="318"/>
      <c r="D302" s="523"/>
      <c r="E302" s="523"/>
      <c r="F302" s="523"/>
      <c r="G302" s="523"/>
      <c r="H302" s="523"/>
      <c r="I302" s="523"/>
      <c r="J302" s="523"/>
      <c r="K302" s="523"/>
      <c r="L302" s="523"/>
      <c r="M302" s="318"/>
      <c r="N302" s="338"/>
      <c r="O302" s="338"/>
      <c r="P302" s="338"/>
      <c r="Q302" s="338"/>
      <c r="R302" s="338"/>
      <c r="S302" s="338"/>
      <c r="T302" s="338"/>
      <c r="U302" s="338"/>
    </row>
    <row r="303" spans="2:21">
      <c r="B303" s="514" t="s">
        <v>154</v>
      </c>
      <c r="C303" s="318"/>
      <c r="D303" s="163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635"/>
      <c r="F303" s="1635"/>
      <c r="G303" s="1635"/>
      <c r="H303" s="1635"/>
      <c r="I303" s="1635"/>
      <c r="J303" s="1635"/>
      <c r="K303" s="1635"/>
      <c r="L303" s="523"/>
      <c r="M303" s="318"/>
      <c r="N303" s="338"/>
      <c r="O303" s="338"/>
      <c r="P303" s="338"/>
      <c r="Q303" s="338"/>
      <c r="R303" s="338"/>
      <c r="S303" s="338"/>
      <c r="T303" s="338"/>
      <c r="U303" s="338"/>
    </row>
    <row r="304" spans="2:21">
      <c r="B304" s="514"/>
      <c r="C304" s="318"/>
      <c r="D304" s="1635"/>
      <c r="E304" s="1635"/>
      <c r="F304" s="1635"/>
      <c r="G304" s="1635"/>
      <c r="H304" s="1635"/>
      <c r="I304" s="1635"/>
      <c r="J304" s="1635"/>
      <c r="K304" s="1635"/>
      <c r="L304" s="523"/>
      <c r="M304" s="318"/>
      <c r="N304" s="338"/>
      <c r="O304" s="338"/>
      <c r="P304" s="338"/>
      <c r="Q304" s="338"/>
      <c r="R304" s="338"/>
      <c r="S304" s="338"/>
      <c r="T304" s="338"/>
      <c r="U304" s="338"/>
    </row>
    <row r="305" spans="2:21">
      <c r="B305" s="514"/>
      <c r="C305" s="318"/>
      <c r="D305" s="1635"/>
      <c r="E305" s="1635"/>
      <c r="F305" s="1635"/>
      <c r="G305" s="1635"/>
      <c r="H305" s="1635"/>
      <c r="I305" s="1635"/>
      <c r="J305" s="1635"/>
      <c r="K305" s="1635"/>
      <c r="L305" s="523"/>
      <c r="M305" s="318"/>
      <c r="N305" s="338"/>
      <c r="O305" s="338"/>
      <c r="P305" s="338"/>
      <c r="Q305" s="338"/>
      <c r="R305" s="338"/>
      <c r="S305" s="338"/>
      <c r="T305" s="338"/>
      <c r="U305" s="338"/>
    </row>
    <row r="306" spans="2:21">
      <c r="B306" s="514"/>
      <c r="C306" s="318"/>
      <c r="D306" s="520"/>
      <c r="E306" s="523"/>
      <c r="F306" s="523"/>
      <c r="G306" s="523"/>
      <c r="H306" s="523"/>
      <c r="I306" s="523"/>
      <c r="J306" s="523"/>
      <c r="K306" s="523"/>
      <c r="L306" s="523"/>
      <c r="M306" s="318"/>
      <c r="N306" s="338"/>
      <c r="O306" s="338"/>
      <c r="P306" s="338"/>
      <c r="Q306" s="338"/>
      <c r="R306" s="338"/>
      <c r="S306" s="338"/>
      <c r="T306" s="338"/>
      <c r="U306" s="338"/>
    </row>
    <row r="307" spans="2:21">
      <c r="B307" s="514" t="s">
        <v>155</v>
      </c>
      <c r="C307" s="318"/>
      <c r="D307" s="165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650"/>
      <c r="F307" s="1650"/>
      <c r="G307" s="1650"/>
      <c r="H307" s="1650"/>
      <c r="I307" s="1650"/>
      <c r="J307" s="1650"/>
      <c r="K307" s="1650"/>
      <c r="L307" s="523"/>
      <c r="M307" s="318"/>
      <c r="N307" s="338"/>
      <c r="O307" s="338"/>
      <c r="P307" s="338"/>
      <c r="Q307" s="338"/>
      <c r="R307" s="338"/>
      <c r="S307" s="338"/>
      <c r="T307" s="338"/>
      <c r="U307" s="338"/>
    </row>
    <row r="308" spans="2:21">
      <c r="B308" s="514"/>
      <c r="C308" s="318"/>
      <c r="D308" s="1650"/>
      <c r="E308" s="1650"/>
      <c r="F308" s="1650"/>
      <c r="G308" s="1650"/>
      <c r="H308" s="1650"/>
      <c r="I308" s="1650"/>
      <c r="J308" s="1650"/>
      <c r="K308" s="1650"/>
      <c r="L308" s="523"/>
      <c r="M308" s="318"/>
      <c r="N308" s="338"/>
      <c r="O308" s="338"/>
      <c r="P308" s="338"/>
      <c r="Q308" s="338"/>
      <c r="R308" s="338"/>
      <c r="S308" s="338"/>
      <c r="T308" s="338"/>
      <c r="U308" s="338"/>
    </row>
    <row r="309" spans="2:21">
      <c r="B309" s="514"/>
      <c r="C309" s="318"/>
      <c r="D309" s="1651"/>
      <c r="E309" s="1651"/>
      <c r="F309" s="1651"/>
      <c r="G309" s="1651"/>
      <c r="H309" s="1651"/>
      <c r="I309" s="1651"/>
      <c r="J309" s="1651"/>
      <c r="K309" s="1651"/>
      <c r="L309" s="523"/>
      <c r="M309" s="318"/>
      <c r="N309" s="338"/>
      <c r="O309" s="338"/>
      <c r="P309" s="338"/>
      <c r="Q309" s="338"/>
      <c r="R309" s="338"/>
      <c r="S309" s="338"/>
      <c r="T309" s="338"/>
      <c r="U309" s="338"/>
    </row>
    <row r="310" spans="2:21">
      <c r="B310" s="514"/>
      <c r="C310" s="318"/>
      <c r="D310" s="162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629"/>
      <c r="F310" s="1629"/>
      <c r="G310" s="1629"/>
      <c r="H310" s="1629"/>
      <c r="I310" s="1629"/>
      <c r="J310" s="1629"/>
      <c r="K310" s="524"/>
      <c r="L310" s="523"/>
      <c r="M310" s="318"/>
      <c r="N310" s="338"/>
      <c r="O310" s="338"/>
      <c r="P310" s="338"/>
      <c r="Q310" s="338"/>
      <c r="R310" s="338"/>
      <c r="S310" s="338"/>
      <c r="T310" s="338"/>
      <c r="U310" s="338"/>
    </row>
    <row r="311" spans="2:21">
      <c r="B311" s="514"/>
      <c r="C311" s="318"/>
      <c r="D311" s="1629"/>
      <c r="E311" s="1629"/>
      <c r="F311" s="1629"/>
      <c r="G311" s="1629"/>
      <c r="H311" s="1629"/>
      <c r="I311" s="1629"/>
      <c r="J311" s="1629"/>
      <c r="K311" s="524"/>
      <c r="L311" s="523"/>
      <c r="M311" s="318"/>
      <c r="N311" s="338"/>
      <c r="O311" s="338"/>
      <c r="P311" s="338"/>
      <c r="Q311" s="338"/>
      <c r="R311" s="338"/>
      <c r="S311" s="338"/>
      <c r="T311" s="338"/>
      <c r="U311" s="338"/>
    </row>
    <row r="312" spans="2:21">
      <c r="B312" s="514"/>
      <c r="C312" s="318"/>
      <c r="D312" s="523" t="str">
        <f>"The company records referenced on line "&amp;B168&amp;" is the "&amp;F9&amp;" general ledger."</f>
        <v>The company records referenced on line 95 is the Ohio Power Company general ledger.</v>
      </c>
      <c r="E312" s="525"/>
      <c r="F312" s="525"/>
      <c r="G312" s="525"/>
      <c r="H312" s="525"/>
      <c r="I312" s="525"/>
      <c r="J312" s="525"/>
      <c r="K312" s="525"/>
      <c r="L312" s="523"/>
      <c r="M312" s="318"/>
      <c r="N312" s="338"/>
      <c r="O312" s="338"/>
      <c r="P312" s="338"/>
      <c r="Q312" s="338"/>
      <c r="R312" s="338"/>
      <c r="S312" s="338"/>
      <c r="T312" s="338"/>
      <c r="U312" s="338"/>
    </row>
    <row r="313" spans="2:21">
      <c r="B313" s="514"/>
      <c r="C313" s="318"/>
      <c r="D313" s="523"/>
      <c r="E313" s="525"/>
      <c r="F313" s="525"/>
      <c r="G313" s="525"/>
      <c r="H313" s="525"/>
      <c r="I313" s="525"/>
      <c r="J313" s="525"/>
      <c r="K313" s="525"/>
      <c r="L313" s="523"/>
      <c r="M313" s="318"/>
      <c r="N313" s="338"/>
      <c r="O313" s="338"/>
      <c r="P313" s="338"/>
      <c r="Q313" s="338"/>
      <c r="R313" s="338"/>
      <c r="S313" s="338"/>
      <c r="T313" s="338"/>
      <c r="U313" s="338"/>
    </row>
    <row r="314" spans="2:21">
      <c r="B314" s="514" t="s">
        <v>156</v>
      </c>
      <c r="C314" s="318"/>
      <c r="D314" s="318" t="s">
        <v>580</v>
      </c>
      <c r="E314" s="368"/>
      <c r="F314" s="368"/>
      <c r="G314" s="368"/>
      <c r="H314" s="368"/>
      <c r="I314" s="368"/>
      <c r="J314" s="368"/>
      <c r="K314" s="368"/>
      <c r="L314" s="526"/>
      <c r="M314" s="318"/>
      <c r="N314" s="338"/>
      <c r="O314" s="338"/>
      <c r="P314" s="338"/>
      <c r="Q314" s="338"/>
      <c r="R314" s="338"/>
      <c r="S314" s="338"/>
      <c r="T314" s="338"/>
      <c r="U314" s="338"/>
    </row>
    <row r="315" spans="2:21">
      <c r="B315" s="514"/>
      <c r="C315" s="318"/>
      <c r="D315" s="526"/>
      <c r="E315" s="526"/>
      <c r="F315" s="526"/>
      <c r="G315" s="526"/>
      <c r="H315" s="526"/>
      <c r="I315" s="526"/>
      <c r="J315" s="526"/>
      <c r="K315" s="526"/>
      <c r="L315" s="526"/>
      <c r="M315" s="318"/>
      <c r="N315" s="338"/>
      <c r="O315" s="338"/>
      <c r="P315" s="338"/>
      <c r="Q315" s="338"/>
      <c r="R315" s="338"/>
      <c r="S315" s="338"/>
      <c r="T315" s="338"/>
      <c r="U315" s="338"/>
    </row>
    <row r="316" spans="2:21">
      <c r="B316" s="514" t="s">
        <v>157</v>
      </c>
      <c r="C316" s="318"/>
      <c r="D316" s="1633" t="s">
        <v>48</v>
      </c>
      <c r="E316" s="1626"/>
      <c r="F316" s="1626"/>
      <c r="G316" s="1626"/>
      <c r="H316" s="1626"/>
      <c r="I316" s="1626"/>
      <c r="J316" s="1626"/>
      <c r="K316" s="523"/>
      <c r="L316" s="523"/>
      <c r="M316" s="318"/>
      <c r="N316" s="338"/>
      <c r="O316" s="338"/>
      <c r="P316" s="338"/>
      <c r="Q316" s="338"/>
      <c r="R316" s="338"/>
      <c r="S316" s="338"/>
      <c r="T316" s="338"/>
      <c r="U316" s="338"/>
    </row>
    <row r="317" spans="2:21">
      <c r="B317" s="514"/>
      <c r="C317" s="318"/>
      <c r="D317" s="1634"/>
      <c r="E317" s="1634"/>
      <c r="F317" s="1634"/>
      <c r="G317" s="1634"/>
      <c r="H317" s="1634"/>
      <c r="I317" s="1634"/>
      <c r="J317" s="1634"/>
      <c r="K317" s="526"/>
      <c r="L317" s="526"/>
      <c r="M317" s="318"/>
      <c r="N317" s="338"/>
      <c r="O317" s="338"/>
      <c r="P317" s="338"/>
      <c r="Q317" s="338"/>
      <c r="R317" s="338"/>
      <c r="S317" s="338"/>
      <c r="T317" s="338"/>
      <c r="U317" s="338"/>
    </row>
    <row r="318" spans="2:21">
      <c r="B318" s="514"/>
      <c r="C318" s="318"/>
      <c r="D318" s="1626"/>
      <c r="E318" s="1626"/>
      <c r="F318" s="1626"/>
      <c r="G318" s="1626"/>
      <c r="H318" s="1626"/>
      <c r="I318" s="1626"/>
      <c r="J318" s="1626"/>
      <c r="K318" s="523"/>
      <c r="L318" s="523"/>
      <c r="M318" s="318"/>
      <c r="N318" s="338"/>
      <c r="O318" s="338"/>
      <c r="P318" s="338"/>
      <c r="Q318" s="338"/>
      <c r="R318" s="338"/>
      <c r="S318" s="338"/>
      <c r="T318" s="338"/>
      <c r="U318" s="338"/>
    </row>
    <row r="319" spans="2:21">
      <c r="B319" s="514"/>
      <c r="C319" s="318"/>
      <c r="D319" s="523"/>
      <c r="E319" s="523"/>
      <c r="F319" s="523"/>
      <c r="G319" s="523"/>
      <c r="H319" s="523"/>
      <c r="I319" s="523"/>
      <c r="J319" s="523"/>
      <c r="K319" s="523"/>
      <c r="L319" s="523"/>
      <c r="M319" s="318"/>
      <c r="N319" s="338"/>
      <c r="O319" s="338"/>
      <c r="P319" s="338"/>
      <c r="Q319" s="338"/>
      <c r="R319" s="338"/>
      <c r="S319" s="338"/>
      <c r="T319" s="338"/>
      <c r="U319" s="338"/>
    </row>
    <row r="320" spans="2:21" ht="15.75">
      <c r="B320" s="1105" t="s">
        <v>158</v>
      </c>
      <c r="C320" s="1106"/>
      <c r="D320" s="1627" t="s">
        <v>857</v>
      </c>
      <c r="E320" s="1628"/>
      <c r="F320" s="1628"/>
      <c r="G320" s="1628"/>
      <c r="H320" s="1628"/>
      <c r="I320" s="1628"/>
      <c r="J320" s="1628"/>
      <c r="K320" s="1628"/>
      <c r="L320" s="526"/>
      <c r="M320" s="318"/>
      <c r="N320" s="338"/>
      <c r="O320" s="338"/>
      <c r="P320" s="338"/>
      <c r="Q320" s="338"/>
      <c r="R320" s="338"/>
      <c r="S320" s="338"/>
      <c r="T320" s="338"/>
      <c r="U320" s="338"/>
    </row>
    <row r="321" spans="2:21" ht="15.75">
      <c r="B321" s="1079"/>
      <c r="C321" s="1106"/>
      <c r="D321" s="1628"/>
      <c r="E321" s="1628"/>
      <c r="F321" s="1628"/>
      <c r="G321" s="1628"/>
      <c r="H321" s="1628"/>
      <c r="I321" s="1628"/>
      <c r="J321" s="1628"/>
      <c r="K321" s="1628"/>
      <c r="L321" s="523"/>
      <c r="M321" s="318"/>
      <c r="N321" s="338"/>
      <c r="O321" s="338"/>
      <c r="P321" s="338"/>
      <c r="Q321" s="338"/>
      <c r="R321" s="338"/>
      <c r="S321" s="338"/>
      <c r="T321" s="338"/>
      <c r="U321" s="338"/>
    </row>
    <row r="322" spans="2:21">
      <c r="B322" s="514"/>
      <c r="C322" s="318"/>
      <c r="D322" s="523"/>
      <c r="E322" s="523"/>
      <c r="F322" s="523"/>
      <c r="G322" s="523"/>
      <c r="H322" s="523"/>
      <c r="I322" s="523"/>
      <c r="J322" s="523"/>
      <c r="K322" s="523"/>
      <c r="L322" s="523"/>
      <c r="M322" s="318"/>
      <c r="N322" s="338"/>
      <c r="O322" s="338"/>
      <c r="P322" s="338"/>
      <c r="Q322" s="338"/>
      <c r="R322" s="338"/>
      <c r="S322" s="338"/>
      <c r="T322" s="338"/>
      <c r="U322" s="338"/>
    </row>
    <row r="323" spans="2:21">
      <c r="B323" s="352" t="s">
        <v>159</v>
      </c>
      <c r="C323" s="353"/>
      <c r="D323" s="1647" t="s">
        <v>581</v>
      </c>
      <c r="E323" s="1647"/>
      <c r="F323" s="1647"/>
      <c r="G323" s="1647"/>
      <c r="H323" s="1647"/>
      <c r="I323" s="1647"/>
      <c r="J323" s="1647"/>
      <c r="K323" s="1647"/>
      <c r="L323" s="1647"/>
      <c r="M323" s="318"/>
      <c r="N323" s="338"/>
      <c r="O323" s="338"/>
      <c r="P323" s="338"/>
      <c r="Q323" s="338"/>
      <c r="R323" s="338"/>
      <c r="S323" s="338"/>
      <c r="T323" s="338"/>
      <c r="U323" s="338"/>
    </row>
    <row r="324" spans="2:21">
      <c r="B324" s="352"/>
      <c r="C324" s="353"/>
      <c r="D324" s="1647"/>
      <c r="E324" s="1647"/>
      <c r="F324" s="1647"/>
      <c r="G324" s="1647"/>
      <c r="H324" s="1647"/>
      <c r="I324" s="1647"/>
      <c r="J324" s="1647"/>
      <c r="K324" s="1647"/>
      <c r="L324" s="1647"/>
      <c r="M324" s="318"/>
      <c r="N324" s="338"/>
      <c r="O324" s="338"/>
      <c r="P324" s="338"/>
      <c r="Q324" s="338"/>
      <c r="R324" s="338"/>
      <c r="S324" s="338"/>
      <c r="T324" s="338"/>
      <c r="U324" s="338"/>
    </row>
    <row r="325" spans="2:21">
      <c r="B325" s="352"/>
      <c r="C325" s="353"/>
      <c r="D325" s="1647"/>
      <c r="E325" s="1647"/>
      <c r="F325" s="1647"/>
      <c r="G325" s="1647"/>
      <c r="H325" s="1647"/>
      <c r="I325" s="1647"/>
      <c r="J325" s="1647"/>
      <c r="K325" s="1647"/>
      <c r="L325" s="1647"/>
      <c r="M325" s="318"/>
      <c r="N325" s="338"/>
      <c r="O325" s="338"/>
      <c r="P325" s="338"/>
      <c r="Q325" s="338"/>
      <c r="R325" s="338"/>
      <c r="S325" s="338"/>
      <c r="T325" s="338"/>
      <c r="U325" s="338"/>
    </row>
    <row r="326" spans="2:21">
      <c r="B326" s="352"/>
      <c r="C326" s="353"/>
      <c r="D326" s="1647"/>
      <c r="E326" s="1647"/>
      <c r="F326" s="1647"/>
      <c r="G326" s="1647"/>
      <c r="H326" s="1647"/>
      <c r="I326" s="1647"/>
      <c r="J326" s="1647"/>
      <c r="K326" s="1647"/>
      <c r="L326" s="1647"/>
      <c r="M326" s="318"/>
      <c r="N326" s="338"/>
      <c r="O326" s="338"/>
      <c r="P326" s="338"/>
      <c r="Q326" s="338"/>
      <c r="R326" s="338"/>
      <c r="S326" s="338"/>
      <c r="T326" s="338"/>
      <c r="U326" s="338"/>
    </row>
    <row r="327" spans="2:21">
      <c r="B327" s="352"/>
      <c r="C327" s="353"/>
      <c r="D327" s="523"/>
      <c r="E327" s="522"/>
      <c r="F327" s="522"/>
      <c r="G327" s="522"/>
      <c r="H327" s="522"/>
      <c r="I327" s="522"/>
      <c r="J327" s="522"/>
      <c r="K327" s="522"/>
      <c r="L327" s="522"/>
      <c r="M327" s="318"/>
      <c r="N327" s="338"/>
      <c r="O327" s="338"/>
      <c r="P327" s="338"/>
      <c r="Q327" s="338"/>
      <c r="R327" s="338"/>
      <c r="S327" s="338"/>
      <c r="T327" s="338"/>
      <c r="U327" s="338"/>
    </row>
    <row r="328" spans="2:21" ht="15" customHeight="1">
      <c r="B328" s="352" t="s">
        <v>160</v>
      </c>
      <c r="C328" s="353"/>
      <c r="D328" s="1630" t="s">
        <v>855</v>
      </c>
      <c r="E328" s="1631"/>
      <c r="F328" s="1631"/>
      <c r="G328" s="1631"/>
      <c r="H328" s="1631"/>
      <c r="I328" s="1631"/>
      <c r="J328" s="1631"/>
      <c r="K328" s="1631"/>
      <c r="L328" s="1632"/>
      <c r="M328" s="318"/>
      <c r="N328" s="338"/>
      <c r="O328" s="338"/>
      <c r="P328" s="338"/>
      <c r="Q328" s="338"/>
      <c r="R328" s="338"/>
      <c r="S328" s="338"/>
      <c r="T328" s="338"/>
      <c r="U328" s="338"/>
    </row>
    <row r="329" spans="2:21">
      <c r="B329" s="352"/>
      <c r="C329" s="353"/>
      <c r="D329" s="1631"/>
      <c r="E329" s="1631"/>
      <c r="F329" s="1631"/>
      <c r="G329" s="1631"/>
      <c r="H329" s="1631"/>
      <c r="I329" s="1631"/>
      <c r="J329" s="1631"/>
      <c r="K329" s="1631"/>
      <c r="L329" s="1632"/>
      <c r="M329" s="318"/>
      <c r="N329" s="338"/>
      <c r="O329" s="338"/>
      <c r="P329" s="338"/>
      <c r="Q329" s="338"/>
      <c r="R329" s="338"/>
      <c r="S329" s="338"/>
      <c r="T329" s="338"/>
      <c r="U329" s="338"/>
    </row>
    <row r="330" spans="2:21">
      <c r="B330" s="352"/>
      <c r="C330" s="353"/>
      <c r="D330" s="1632"/>
      <c r="E330" s="1632"/>
      <c r="F330" s="1632"/>
      <c r="G330" s="1632"/>
      <c r="H330" s="1632"/>
      <c r="I330" s="1632"/>
      <c r="J330" s="1632"/>
      <c r="K330" s="1632"/>
      <c r="L330" s="1632"/>
      <c r="M330" s="318"/>
      <c r="N330" s="338"/>
      <c r="O330" s="338"/>
      <c r="P330" s="338"/>
      <c r="Q330" s="338"/>
      <c r="R330" s="338"/>
      <c r="S330" s="338"/>
      <c r="T330" s="338"/>
      <c r="U330" s="338"/>
    </row>
    <row r="331" spans="2:21">
      <c r="B331" s="352"/>
      <c r="C331" s="353"/>
      <c r="D331" s="467"/>
      <c r="E331" s="338"/>
      <c r="F331" s="338"/>
      <c r="G331" s="338"/>
      <c r="H331" s="338"/>
      <c r="I331" s="338"/>
      <c r="J331" s="338"/>
      <c r="K331" s="338"/>
      <c r="L331" s="338"/>
      <c r="M331" s="318"/>
      <c r="N331" s="338"/>
      <c r="O331" s="338"/>
      <c r="P331" s="338"/>
      <c r="Q331" s="338"/>
      <c r="R331" s="338"/>
      <c r="S331" s="338"/>
      <c r="T331" s="338"/>
      <c r="U331" s="338"/>
    </row>
    <row r="332" spans="2:21">
      <c r="B332" s="422" t="s">
        <v>245</v>
      </c>
      <c r="C332" s="353"/>
      <c r="D332" s="364" t="s">
        <v>355</v>
      </c>
      <c r="E332" s="321"/>
      <c r="F332" s="321"/>
      <c r="G332" s="321"/>
      <c r="H332" s="321"/>
      <c r="I332" s="321"/>
      <c r="J332" s="321"/>
      <c r="K332" s="318"/>
      <c r="L332" s="318"/>
      <c r="M332" s="318"/>
      <c r="N332" s="338"/>
      <c r="O332" s="338"/>
      <c r="P332" s="338"/>
      <c r="Q332" s="338"/>
      <c r="R332" s="338"/>
      <c r="S332" s="338"/>
      <c r="T332" s="338"/>
      <c r="U332" s="338"/>
    </row>
    <row r="333" spans="2:21">
      <c r="B333" s="422"/>
      <c r="C333" s="353"/>
      <c r="D333" s="321"/>
      <c r="E333" s="321"/>
      <c r="F333" s="321"/>
      <c r="G333" s="321"/>
      <c r="H333" s="321"/>
      <c r="I333" s="321"/>
      <c r="J333" s="321"/>
      <c r="K333" s="318"/>
      <c r="L333" s="318"/>
      <c r="M333" s="318"/>
      <c r="N333" s="338"/>
      <c r="O333" s="338"/>
      <c r="P333" s="338"/>
      <c r="Q333" s="338"/>
      <c r="R333" s="338"/>
      <c r="S333" s="338"/>
      <c r="T333" s="338"/>
      <c r="U333" s="338"/>
    </row>
    <row r="334" spans="2:21">
      <c r="B334" s="352" t="s">
        <v>304</v>
      </c>
      <c r="C334" s="353"/>
      <c r="D334" s="364" t="s">
        <v>344</v>
      </c>
      <c r="E334" s="318"/>
      <c r="F334" s="318"/>
      <c r="G334" s="318"/>
      <c r="H334" s="318"/>
      <c r="I334" s="318"/>
      <c r="J334" s="318"/>
      <c r="K334" s="318"/>
      <c r="L334" s="318"/>
      <c r="M334" s="318"/>
      <c r="N334" s="338"/>
      <c r="O334" s="338"/>
      <c r="P334" s="338"/>
      <c r="Q334" s="338"/>
      <c r="R334" s="338"/>
      <c r="S334" s="338"/>
      <c r="T334" s="338"/>
      <c r="U334" s="338"/>
    </row>
    <row r="335" spans="2:21">
      <c r="B335" s="422"/>
      <c r="C335" s="353"/>
      <c r="D335" s="364" t="s">
        <v>233</v>
      </c>
      <c r="E335" s="318"/>
      <c r="F335" s="318"/>
      <c r="G335" s="318"/>
      <c r="H335" s="318"/>
      <c r="I335" s="318"/>
      <c r="J335" s="318"/>
      <c r="K335" s="318"/>
      <c r="L335" s="318"/>
      <c r="M335" s="318"/>
      <c r="N335" s="338"/>
      <c r="O335" s="338"/>
      <c r="P335" s="338"/>
      <c r="Q335" s="338"/>
      <c r="R335" s="338"/>
      <c r="S335" s="338"/>
      <c r="T335" s="338"/>
      <c r="U335" s="338"/>
    </row>
    <row r="336" spans="2:21">
      <c r="B336" s="422"/>
      <c r="C336" s="353"/>
      <c r="D336" s="364" t="s">
        <v>234</v>
      </c>
      <c r="E336" s="318"/>
      <c r="F336" s="318"/>
      <c r="G336" s="318"/>
      <c r="H336" s="318"/>
      <c r="I336" s="318"/>
      <c r="J336" s="318"/>
      <c r="K336" s="318"/>
      <c r="L336" s="318"/>
      <c r="M336" s="318"/>
      <c r="N336" s="338"/>
      <c r="O336" s="338"/>
      <c r="P336" s="338"/>
      <c r="Q336" s="338"/>
      <c r="R336" s="338"/>
      <c r="S336" s="338"/>
      <c r="T336" s="338"/>
      <c r="U336" s="338"/>
    </row>
    <row r="337" spans="2:21">
      <c r="B337" s="422"/>
      <c r="C337" s="353"/>
      <c r="D337" s="364" t="s">
        <v>235</v>
      </c>
      <c r="E337" s="318"/>
      <c r="F337" s="318"/>
      <c r="G337" s="318"/>
      <c r="H337" s="318"/>
      <c r="I337" s="318"/>
      <c r="J337" s="318"/>
      <c r="K337" s="318"/>
      <c r="L337" s="318"/>
      <c r="M337" s="318"/>
      <c r="N337" s="338"/>
      <c r="O337" s="338"/>
      <c r="P337" s="338"/>
      <c r="Q337" s="338"/>
      <c r="R337" s="338"/>
      <c r="S337" s="338"/>
      <c r="T337" s="338"/>
      <c r="U337" s="338"/>
    </row>
    <row r="338" spans="2:21">
      <c r="B338" s="352"/>
      <c r="C338" s="353"/>
      <c r="D338" s="364" t="str">
        <f>"(ln "&amp;B194&amp;") multiplied by (1/1-T) .  If the applicable tax rates are zero enter 0."</f>
        <v>(ln 118) multiplied by (1/1-T) .  If the applicable tax rates are zero enter 0.</v>
      </c>
      <c r="H338" s="318"/>
      <c r="I338" s="318"/>
      <c r="J338" s="318"/>
      <c r="K338" s="318"/>
      <c r="L338" s="318"/>
      <c r="M338" s="318"/>
      <c r="N338" s="338"/>
      <c r="O338" s="338"/>
      <c r="P338" s="338"/>
      <c r="Q338" s="338"/>
      <c r="R338" s="338"/>
      <c r="S338" s="338"/>
      <c r="T338" s="338"/>
      <c r="U338" s="338"/>
    </row>
    <row r="339" spans="2:21">
      <c r="B339" s="527"/>
      <c r="C339" s="338"/>
      <c r="D339" s="364" t="s">
        <v>345</v>
      </c>
      <c r="E339" s="338" t="s">
        <v>346</v>
      </c>
      <c r="F339" s="839">
        <v>0.21</v>
      </c>
      <c r="G339" s="338"/>
      <c r="H339" s="318"/>
      <c r="I339" s="318"/>
      <c r="J339" s="318"/>
      <c r="K339" s="318"/>
      <c r="L339" s="318"/>
      <c r="M339" s="318"/>
      <c r="N339" s="338"/>
      <c r="O339" s="338"/>
      <c r="P339" s="338"/>
      <c r="Q339" s="338"/>
      <c r="R339" s="338"/>
      <c r="S339" s="338"/>
      <c r="T339" s="338"/>
      <c r="U339" s="338"/>
    </row>
    <row r="340" spans="2:21">
      <c r="B340" s="527"/>
      <c r="C340" s="338"/>
      <c r="D340" s="364"/>
      <c r="E340" s="338" t="s">
        <v>347</v>
      </c>
      <c r="F340" s="516">
        <f>'WS G  State Tax Rate'!F34</f>
        <v>1.2298999999999999E-2</v>
      </c>
      <c r="G340" s="338" t="s">
        <v>505</v>
      </c>
      <c r="H340" s="318"/>
      <c r="I340" s="318"/>
      <c r="J340" s="318"/>
      <c r="K340" s="318"/>
      <c r="L340" s="318"/>
      <c r="M340" s="318"/>
      <c r="N340" s="338"/>
      <c r="O340" s="338"/>
      <c r="P340" s="338"/>
      <c r="Q340" s="338"/>
      <c r="R340" s="338"/>
      <c r="S340" s="338"/>
      <c r="T340" s="338"/>
      <c r="U340" s="338"/>
    </row>
    <row r="341" spans="2:21">
      <c r="B341" s="527"/>
      <c r="C341" s="338"/>
      <c r="D341" s="364"/>
      <c r="E341" s="338" t="s">
        <v>348</v>
      </c>
      <c r="F341" s="839">
        <v>0</v>
      </c>
      <c r="G341" s="338" t="s">
        <v>349</v>
      </c>
      <c r="H341" s="318"/>
      <c r="I341" s="318"/>
      <c r="J341" s="318"/>
      <c r="K341" s="318"/>
      <c r="L341" s="318"/>
      <c r="M341" s="318"/>
      <c r="N341" s="338"/>
      <c r="O341" s="338"/>
      <c r="P341" s="338"/>
      <c r="Q341" s="338"/>
      <c r="R341" s="338"/>
      <c r="S341" s="338"/>
      <c r="T341" s="338"/>
      <c r="U341" s="338"/>
    </row>
    <row r="342" spans="2:21">
      <c r="B342" s="422"/>
      <c r="C342" s="353"/>
      <c r="D342" s="364" t="s">
        <v>591</v>
      </c>
      <c r="E342" s="318"/>
      <c r="F342" s="318"/>
      <c r="G342" s="318"/>
      <c r="H342" s="318"/>
      <c r="I342" s="318"/>
      <c r="J342" s="318"/>
      <c r="K342" s="318"/>
      <c r="L342" s="318"/>
      <c r="M342" s="338"/>
      <c r="N342" s="338"/>
      <c r="O342" s="338"/>
      <c r="P342" s="338"/>
      <c r="Q342" s="338"/>
      <c r="R342" s="338"/>
      <c r="S342" s="338"/>
      <c r="T342" s="338"/>
      <c r="U342" s="338"/>
    </row>
    <row r="343" spans="2:21">
      <c r="B343" s="422"/>
      <c r="C343" s="353"/>
      <c r="D343" s="364" t="s">
        <v>592</v>
      </c>
      <c r="E343" s="318"/>
      <c r="F343" s="318"/>
      <c r="G343" s="318"/>
      <c r="H343" s="318"/>
      <c r="I343" s="318"/>
      <c r="J343" s="318"/>
      <c r="K343" s="318"/>
      <c r="L343" s="318"/>
      <c r="M343" s="338"/>
      <c r="N343" s="338"/>
      <c r="O343" s="338"/>
      <c r="P343" s="338"/>
      <c r="Q343" s="338"/>
      <c r="R343" s="338"/>
      <c r="S343" s="338"/>
      <c r="T343" s="338"/>
      <c r="U343" s="338"/>
    </row>
    <row r="344" spans="2:21">
      <c r="B344" s="352" t="s">
        <v>350</v>
      </c>
      <c r="C344" s="353"/>
      <c r="D344" s="364" t="s">
        <v>224</v>
      </c>
      <c r="E344" s="318"/>
      <c r="F344" s="318"/>
      <c r="G344" s="318"/>
      <c r="H344" s="318"/>
      <c r="I344" s="318"/>
      <c r="J344" s="318"/>
      <c r="K344" s="318"/>
      <c r="L344" s="318"/>
      <c r="M344" s="318"/>
      <c r="N344" s="338"/>
      <c r="O344" s="338"/>
      <c r="P344" s="338"/>
      <c r="Q344" s="338"/>
      <c r="R344" s="338"/>
      <c r="S344" s="338"/>
      <c r="T344" s="338"/>
      <c r="U344" s="338"/>
    </row>
    <row r="345" spans="2:21">
      <c r="B345" s="313"/>
      <c r="D345" s="364"/>
      <c r="E345" s="318"/>
      <c r="F345" s="318"/>
      <c r="G345" s="318"/>
      <c r="H345" s="318"/>
      <c r="I345" s="318"/>
      <c r="J345" s="318"/>
      <c r="K345" s="318"/>
      <c r="L345" s="318"/>
      <c r="M345" s="318"/>
      <c r="N345" s="338"/>
      <c r="O345" s="338"/>
      <c r="P345" s="338"/>
      <c r="Q345" s="338"/>
      <c r="R345" s="338"/>
      <c r="S345" s="338"/>
      <c r="T345" s="338"/>
      <c r="U345" s="338"/>
    </row>
    <row r="346" spans="2:21">
      <c r="B346" s="352" t="s">
        <v>351</v>
      </c>
      <c r="C346" s="353"/>
      <c r="D346" s="364" t="s">
        <v>22</v>
      </c>
      <c r="E346" s="318"/>
      <c r="F346" s="318"/>
      <c r="G346" s="318"/>
      <c r="H346" s="318"/>
      <c r="I346" s="318"/>
      <c r="J346" s="318"/>
      <c r="K346" s="318"/>
      <c r="L346" s="318"/>
      <c r="M346" s="318"/>
      <c r="N346" s="338"/>
      <c r="O346" s="338"/>
      <c r="P346" s="338"/>
      <c r="Q346" s="338"/>
      <c r="R346" s="338"/>
      <c r="S346" s="338"/>
      <c r="T346" s="338"/>
      <c r="U346" s="338"/>
    </row>
    <row r="347" spans="2:21">
      <c r="B347" s="352"/>
      <c r="C347" s="353"/>
      <c r="D347" s="364"/>
      <c r="E347" s="338"/>
      <c r="F347" s="338"/>
      <c r="G347" s="338"/>
      <c r="H347" s="338"/>
      <c r="I347" s="338"/>
      <c r="J347" s="338"/>
      <c r="K347" s="338"/>
      <c r="L347" s="338"/>
      <c r="M347" s="338"/>
      <c r="N347" s="338"/>
      <c r="O347" s="338"/>
      <c r="P347" s="338"/>
      <c r="Q347" s="338"/>
      <c r="R347" s="338"/>
      <c r="S347" s="338"/>
      <c r="T347" s="338"/>
      <c r="U347" s="338"/>
    </row>
    <row r="348" spans="2:21">
      <c r="B348" s="352" t="s">
        <v>352</v>
      </c>
      <c r="C348" s="353"/>
      <c r="D348" s="364" t="s">
        <v>415</v>
      </c>
      <c r="E348" s="338"/>
      <c r="F348" s="338"/>
      <c r="G348" s="338"/>
      <c r="H348" s="338"/>
      <c r="I348" s="338"/>
      <c r="J348" s="338"/>
      <c r="K348" s="338"/>
      <c r="L348" s="338"/>
      <c r="M348" s="338"/>
      <c r="N348" s="338"/>
      <c r="O348" s="338"/>
      <c r="P348" s="338"/>
      <c r="Q348" s="338"/>
      <c r="R348" s="338"/>
      <c r="S348" s="338"/>
      <c r="T348" s="338"/>
      <c r="U348" s="338"/>
    </row>
    <row r="349" spans="2:21">
      <c r="B349" s="352"/>
      <c r="C349" s="353"/>
      <c r="D349" s="364"/>
      <c r="E349" s="338"/>
      <c r="F349" s="338"/>
      <c r="G349" s="338"/>
      <c r="H349" s="338"/>
      <c r="I349" s="338"/>
      <c r="J349" s="338"/>
      <c r="K349" s="338"/>
      <c r="L349" s="338"/>
      <c r="M349" s="338"/>
      <c r="N349" s="338"/>
      <c r="O349" s="338"/>
      <c r="P349" s="338"/>
      <c r="Q349" s="338"/>
      <c r="R349" s="338"/>
      <c r="S349" s="338"/>
      <c r="T349" s="338"/>
      <c r="U349" s="338"/>
    </row>
    <row r="350" spans="2:21">
      <c r="B350" s="514" t="s">
        <v>353</v>
      </c>
      <c r="C350" s="423"/>
      <c r="D350" s="364" t="s">
        <v>1323</v>
      </c>
      <c r="M350" s="338"/>
      <c r="N350" s="338"/>
      <c r="O350" s="338"/>
      <c r="P350" s="338"/>
      <c r="Q350" s="338"/>
      <c r="R350" s="338"/>
      <c r="S350" s="338"/>
      <c r="T350" s="338"/>
      <c r="U350" s="338"/>
    </row>
    <row r="351" spans="2:21">
      <c r="B351" s="515"/>
      <c r="C351" s="318"/>
      <c r="D351" s="364" t="s">
        <v>1324</v>
      </c>
      <c r="M351" s="338"/>
      <c r="N351" s="338"/>
      <c r="O351" s="338"/>
      <c r="P351" s="338"/>
      <c r="Q351" s="338"/>
      <c r="R351" s="338"/>
      <c r="S351" s="338"/>
      <c r="T351" s="338"/>
      <c r="U351" s="338"/>
    </row>
    <row r="352" spans="2:21" ht="15" customHeight="1">
      <c r="B352" s="515"/>
      <c r="C352" s="318"/>
      <c r="D352" s="1648" t="s">
        <v>1325</v>
      </c>
      <c r="E352" s="1648"/>
      <c r="F352" s="1648"/>
      <c r="G352" s="1648"/>
      <c r="H352" s="1648"/>
      <c r="I352" s="1648"/>
      <c r="J352" s="1648"/>
      <c r="K352" s="1648"/>
      <c r="L352" s="1648"/>
      <c r="M352" s="338"/>
      <c r="N352" s="338"/>
      <c r="O352" s="338"/>
      <c r="P352" s="338"/>
      <c r="Q352" s="338"/>
      <c r="R352" s="338"/>
      <c r="S352" s="338"/>
      <c r="T352" s="338"/>
      <c r="U352" s="338"/>
    </row>
    <row r="353" spans="2:21">
      <c r="B353" s="515"/>
      <c r="C353" s="318"/>
      <c r="D353" s="1648"/>
      <c r="E353" s="1648"/>
      <c r="F353" s="1648"/>
      <c r="G353" s="1648"/>
      <c r="H353" s="1648"/>
      <c r="I353" s="1648"/>
      <c r="J353" s="1648"/>
      <c r="K353" s="1648"/>
      <c r="L353" s="1648"/>
      <c r="M353" s="338"/>
      <c r="N353" s="338"/>
      <c r="O353" s="338"/>
      <c r="P353" s="338"/>
      <c r="Q353" s="338"/>
      <c r="R353" s="338"/>
      <c r="S353" s="338"/>
      <c r="T353" s="338"/>
      <c r="U353" s="338"/>
    </row>
    <row r="354" spans="2:21" ht="14.25" customHeight="1">
      <c r="B354" s="515"/>
      <c r="C354" s="318"/>
      <c r="D354" s="1648"/>
      <c r="E354" s="1648"/>
      <c r="F354" s="1648"/>
      <c r="G354" s="1648"/>
      <c r="H354" s="1648"/>
      <c r="I354" s="1648"/>
      <c r="J354" s="1648"/>
      <c r="K354" s="1648"/>
      <c r="L354" s="1648"/>
      <c r="M354" s="338"/>
      <c r="N354" s="338"/>
      <c r="O354" s="338"/>
      <c r="P354" s="338"/>
      <c r="Q354" s="338"/>
      <c r="R354" s="338"/>
      <c r="S354" s="338"/>
      <c r="T354" s="338"/>
      <c r="U354" s="338"/>
    </row>
    <row r="355" spans="2:21" ht="15" hidden="1" customHeight="1">
      <c r="B355" s="515"/>
      <c r="C355" s="318"/>
      <c r="D355" s="1648"/>
      <c r="E355" s="1648"/>
      <c r="F355" s="1648"/>
      <c r="G355" s="1648"/>
      <c r="H355" s="1648"/>
      <c r="I355" s="1648"/>
      <c r="J355" s="1648"/>
      <c r="K355" s="1648"/>
      <c r="L355" s="1648"/>
      <c r="M355" s="338"/>
      <c r="N355" s="338"/>
      <c r="O355" s="338"/>
      <c r="P355" s="338"/>
      <c r="Q355" s="338"/>
      <c r="R355" s="338"/>
      <c r="S355" s="338"/>
      <c r="T355" s="338"/>
      <c r="U355" s="338"/>
    </row>
    <row r="356" spans="2:21" ht="15" hidden="1" customHeight="1">
      <c r="B356" s="515"/>
      <c r="C356" s="318"/>
      <c r="D356" s="1648"/>
      <c r="E356" s="1648"/>
      <c r="F356" s="1648"/>
      <c r="G356" s="1648"/>
      <c r="H356" s="1648"/>
      <c r="I356" s="1648"/>
      <c r="J356" s="1648"/>
      <c r="K356" s="1648"/>
      <c r="L356" s="1648"/>
      <c r="M356" s="338"/>
      <c r="N356" s="338"/>
      <c r="O356" s="338"/>
      <c r="P356" s="338"/>
      <c r="Q356" s="338"/>
      <c r="R356" s="338"/>
      <c r="S356" s="338"/>
      <c r="T356" s="338"/>
      <c r="U356" s="338"/>
    </row>
    <row r="357" spans="2:21" ht="15" hidden="1" customHeight="1">
      <c r="B357" s="515"/>
      <c r="C357" s="318"/>
      <c r="D357" s="1648"/>
      <c r="E357" s="1648"/>
      <c r="F357" s="1648"/>
      <c r="G357" s="1648"/>
      <c r="H357" s="1648"/>
      <c r="I357" s="1648"/>
      <c r="J357" s="1648"/>
      <c r="K357" s="1648"/>
      <c r="L357" s="1648"/>
      <c r="M357" s="338"/>
      <c r="N357" s="338"/>
      <c r="O357" s="338"/>
      <c r="P357" s="338"/>
      <c r="Q357" s="338"/>
      <c r="R357" s="338"/>
      <c r="S357" s="338"/>
      <c r="T357" s="338"/>
      <c r="U357" s="338"/>
    </row>
    <row r="358" spans="2:21" s="318" customFormat="1">
      <c r="B358" s="352" t="s">
        <v>426</v>
      </c>
      <c r="C358" s="353"/>
      <c r="D358" s="523" t="s">
        <v>34</v>
      </c>
      <c r="E358" s="523"/>
      <c r="F358" s="523"/>
      <c r="G358" s="523"/>
      <c r="H358" s="523"/>
      <c r="I358" s="523"/>
      <c r="J358" s="523"/>
      <c r="M358" s="338"/>
      <c r="N358" s="338"/>
      <c r="O358" s="338"/>
      <c r="P358" s="338"/>
      <c r="Q358" s="338"/>
      <c r="R358" s="338"/>
      <c r="S358" s="338"/>
      <c r="T358" s="338"/>
      <c r="U358" s="338"/>
    </row>
    <row r="359" spans="2:21" s="318" customFormat="1">
      <c r="B359" s="352"/>
      <c r="C359" s="353"/>
      <c r="D359" s="523" t="str">
        <f>"This total balance of $265,249,280 at 12/31/12 is not included in the balance in line "&amp;B255&amp;" above."</f>
        <v>This total balance of $265,249,280 at 12/31/12 is not included in the balance in line 154 above.</v>
      </c>
      <c r="E359" s="523"/>
      <c r="F359" s="523"/>
      <c r="G359" s="523"/>
      <c r="H359" s="523"/>
      <c r="I359" s="523"/>
      <c r="J359" s="523"/>
      <c r="M359" s="338"/>
      <c r="N359" s="338"/>
      <c r="O359" s="338"/>
      <c r="P359" s="338"/>
      <c r="Q359" s="338"/>
      <c r="R359" s="338"/>
      <c r="S359" s="338"/>
      <c r="T359" s="338"/>
      <c r="U359" s="338"/>
    </row>
    <row r="360" spans="2:21" s="318" customFormat="1">
      <c r="B360" s="352"/>
      <c r="C360" s="353"/>
      <c r="D360" s="1649" t="s">
        <v>582</v>
      </c>
      <c r="E360" s="1649"/>
      <c r="F360" s="1649"/>
      <c r="G360" s="1649"/>
      <c r="H360" s="1649"/>
      <c r="I360" s="1649"/>
      <c r="J360" s="1649"/>
      <c r="K360" s="1649"/>
      <c r="L360" s="1649"/>
      <c r="M360" s="338"/>
      <c r="N360" s="338"/>
      <c r="O360" s="338"/>
      <c r="P360" s="338"/>
      <c r="Q360" s="338"/>
      <c r="R360" s="338"/>
      <c r="S360" s="338"/>
      <c r="T360" s="338"/>
      <c r="U360" s="338"/>
    </row>
    <row r="361" spans="2:21" s="318" customFormat="1">
      <c r="B361" s="352"/>
      <c r="C361" s="353"/>
      <c r="D361" s="1649"/>
      <c r="E361" s="1649"/>
      <c r="F361" s="1649"/>
      <c r="G361" s="1649"/>
      <c r="H361" s="1649"/>
      <c r="I361" s="1649"/>
      <c r="J361" s="1649"/>
      <c r="K361" s="1649"/>
      <c r="L361" s="1649"/>
      <c r="M361" s="338"/>
      <c r="N361" s="338"/>
      <c r="O361" s="338"/>
      <c r="P361" s="338"/>
      <c r="Q361" s="338"/>
      <c r="R361" s="338"/>
      <c r="S361" s="338"/>
      <c r="T361" s="338"/>
      <c r="U361" s="338"/>
    </row>
    <row r="362" spans="2:21" s="318" customFormat="1">
      <c r="B362" s="352"/>
      <c r="C362" s="353"/>
      <c r="D362" s="1649"/>
      <c r="E362" s="1649"/>
      <c r="F362" s="1649"/>
      <c r="G362" s="1649"/>
      <c r="H362" s="1649"/>
      <c r="I362" s="1649"/>
      <c r="J362" s="1649"/>
      <c r="K362" s="1649"/>
      <c r="L362" s="1649"/>
      <c r="M362" s="338"/>
      <c r="N362" s="338"/>
      <c r="O362" s="338"/>
      <c r="P362" s="338"/>
      <c r="Q362" s="338"/>
      <c r="R362" s="338"/>
      <c r="S362" s="338"/>
      <c r="T362" s="338"/>
      <c r="U362" s="338"/>
    </row>
    <row r="363" spans="2:21">
      <c r="B363" s="352" t="s">
        <v>494</v>
      </c>
      <c r="C363" s="528"/>
      <c r="D363" s="1649" t="s">
        <v>753</v>
      </c>
      <c r="E363" s="1649"/>
      <c r="F363" s="1649"/>
      <c r="G363" s="1649"/>
      <c r="H363" s="1649"/>
      <c r="I363" s="1649"/>
      <c r="J363" s="1649"/>
      <c r="K363" s="1649"/>
      <c r="L363" s="1649"/>
      <c r="M363" s="338"/>
      <c r="N363" s="338"/>
      <c r="O363" s="338"/>
      <c r="P363" s="338"/>
      <c r="Q363" s="338"/>
      <c r="R363" s="338"/>
      <c r="S363" s="338"/>
      <c r="T363" s="338"/>
      <c r="U363" s="338"/>
    </row>
    <row r="364" spans="2:21" ht="64.5" customHeight="1">
      <c r="B364" s="352"/>
      <c r="C364" s="353"/>
      <c r="D364" s="1649"/>
      <c r="E364" s="1649"/>
      <c r="F364" s="1649"/>
      <c r="G364" s="1649"/>
      <c r="H364" s="1649"/>
      <c r="I364" s="1649"/>
      <c r="J364" s="1649"/>
      <c r="K364" s="1649"/>
      <c r="L364" s="1649"/>
      <c r="M364" s="338"/>
      <c r="N364" s="338"/>
      <c r="O364" s="338"/>
      <c r="P364" s="338"/>
      <c r="Q364" s="338"/>
      <c r="R364" s="338"/>
      <c r="S364" s="338"/>
      <c r="T364" s="338"/>
      <c r="U364" s="338"/>
    </row>
    <row r="365" spans="2:21">
      <c r="B365" s="352" t="s">
        <v>584</v>
      </c>
      <c r="C365" s="353"/>
      <c r="D365" s="1646" t="s">
        <v>583</v>
      </c>
      <c r="E365" s="1646"/>
      <c r="F365" s="1646"/>
      <c r="G365" s="1646"/>
      <c r="H365" s="1646"/>
      <c r="I365" s="1646"/>
      <c r="J365" s="1646"/>
      <c r="K365" s="1646"/>
      <c r="L365" s="1646"/>
      <c r="M365" s="338"/>
      <c r="N365" s="338"/>
      <c r="O365" s="338"/>
      <c r="P365" s="338"/>
      <c r="Q365" s="338"/>
      <c r="R365" s="338"/>
      <c r="S365" s="338"/>
      <c r="T365" s="338"/>
      <c r="U365" s="338"/>
    </row>
    <row r="366" spans="2:21">
      <c r="B366" s="352"/>
      <c r="C366" s="353"/>
      <c r="D366" s="1646"/>
      <c r="E366" s="1646"/>
      <c r="F366" s="1646"/>
      <c r="G366" s="1646"/>
      <c r="H366" s="1646"/>
      <c r="I366" s="1646"/>
      <c r="J366" s="1646"/>
      <c r="K366" s="1646"/>
      <c r="L366" s="1646"/>
      <c r="M366" s="338"/>
      <c r="N366" s="338"/>
      <c r="O366" s="338"/>
      <c r="P366" s="338"/>
      <c r="Q366" s="338"/>
      <c r="R366" s="338"/>
      <c r="S366" s="338"/>
      <c r="T366" s="338"/>
      <c r="U366" s="338"/>
    </row>
    <row r="367" spans="2:21">
      <c r="B367" s="352" t="s">
        <v>586</v>
      </c>
      <c r="C367" s="353"/>
      <c r="D367" s="1652" t="s">
        <v>587</v>
      </c>
      <c r="E367" s="1652"/>
      <c r="F367" s="1652"/>
      <c r="G367" s="1652"/>
      <c r="H367" s="1652"/>
      <c r="I367" s="1652"/>
      <c r="J367" s="1652"/>
      <c r="K367" s="1652"/>
      <c r="L367" s="1652"/>
      <c r="M367" s="338"/>
      <c r="N367" s="338"/>
      <c r="O367" s="338"/>
      <c r="P367" s="338"/>
      <c r="Q367" s="338"/>
      <c r="R367" s="338"/>
      <c r="S367" s="338"/>
      <c r="T367" s="338"/>
      <c r="U367" s="338"/>
    </row>
    <row r="368" spans="2:21">
      <c r="B368" s="352" t="s">
        <v>585</v>
      </c>
      <c r="C368" s="353"/>
      <c r="D368" s="1646" t="s">
        <v>588</v>
      </c>
      <c r="E368" s="1646"/>
      <c r="F368" s="1646"/>
      <c r="G368" s="1646"/>
      <c r="H368" s="1646"/>
      <c r="I368" s="1646"/>
      <c r="J368" s="1646"/>
      <c r="K368" s="1646"/>
      <c r="L368" s="1646"/>
      <c r="M368" s="338"/>
      <c r="N368" s="338"/>
      <c r="O368" s="338"/>
      <c r="P368" s="338"/>
      <c r="Q368" s="338"/>
      <c r="R368" s="338"/>
      <c r="S368" s="338"/>
      <c r="T368" s="338"/>
      <c r="U368" s="338"/>
    </row>
    <row r="369" spans="2:21">
      <c r="B369" s="352"/>
      <c r="C369" s="353"/>
      <c r="D369" s="1646"/>
      <c r="E369" s="1646"/>
      <c r="F369" s="1646"/>
      <c r="G369" s="1646"/>
      <c r="H369" s="1646"/>
      <c r="I369" s="1646"/>
      <c r="J369" s="1646"/>
      <c r="K369" s="1646"/>
      <c r="L369" s="1646"/>
      <c r="M369" s="338"/>
      <c r="N369" s="338"/>
      <c r="O369" s="338"/>
      <c r="P369" s="338"/>
      <c r="Q369" s="338"/>
      <c r="R369" s="338"/>
      <c r="S369" s="338"/>
      <c r="T369" s="338"/>
      <c r="U369" s="338"/>
    </row>
    <row r="370" spans="2:21">
      <c r="B370" s="330"/>
      <c r="C370" s="330"/>
      <c r="D370" s="1646"/>
      <c r="E370" s="1646"/>
      <c r="F370" s="1646"/>
      <c r="G370" s="1646"/>
      <c r="H370" s="1646"/>
      <c r="I370" s="1646"/>
      <c r="J370" s="1646"/>
      <c r="K370" s="1646"/>
      <c r="L370" s="1646"/>
      <c r="M370" s="338"/>
      <c r="N370" s="338"/>
      <c r="O370" s="338"/>
      <c r="P370" s="338"/>
      <c r="Q370" s="338"/>
      <c r="R370" s="338"/>
      <c r="S370" s="338"/>
      <c r="T370" s="338"/>
      <c r="U370" s="338"/>
    </row>
    <row r="371" spans="2:21" ht="18" customHeight="1">
      <c r="B371" s="1118" t="s">
        <v>625</v>
      </c>
      <c r="C371" s="1119"/>
      <c r="D371" s="517" t="s">
        <v>861</v>
      </c>
      <c r="E371" s="576"/>
      <c r="F371" s="576"/>
      <c r="G371" s="576"/>
      <c r="H371" s="330"/>
      <c r="M371" s="338"/>
      <c r="N371" s="338"/>
      <c r="O371" s="338"/>
      <c r="P371" s="338"/>
      <c r="Q371" s="338"/>
      <c r="R371" s="338"/>
      <c r="S371" s="338"/>
      <c r="T371" s="338"/>
      <c r="U371" s="338"/>
    </row>
    <row r="372" spans="2:21">
      <c r="B372" s="330"/>
      <c r="C372" s="330"/>
      <c r="D372" s="330"/>
      <c r="E372" s="330"/>
      <c r="F372" s="330"/>
      <c r="G372" s="330"/>
      <c r="H372" s="330"/>
      <c r="M372" s="338"/>
      <c r="N372" s="338"/>
      <c r="O372" s="338"/>
      <c r="P372" s="338"/>
      <c r="Q372" s="338"/>
      <c r="R372" s="338"/>
      <c r="S372" s="338"/>
      <c r="T372" s="338"/>
      <c r="U372" s="338"/>
    </row>
    <row r="373" spans="2:21">
      <c r="B373" s="1118" t="s">
        <v>960</v>
      </c>
      <c r="C373" s="412"/>
      <c r="D373" s="1645" t="s">
        <v>961</v>
      </c>
      <c r="E373" s="1645"/>
      <c r="F373" s="1645"/>
      <c r="G373" s="1645"/>
      <c r="H373" s="1645"/>
      <c r="I373" s="1645"/>
      <c r="J373" s="1645"/>
      <c r="K373" s="1645"/>
      <c r="L373" s="1645"/>
      <c r="M373" s="338"/>
      <c r="N373" s="338"/>
      <c r="O373" s="338"/>
      <c r="P373" s="338"/>
      <c r="Q373" s="338"/>
      <c r="R373" s="338"/>
      <c r="S373" s="338"/>
      <c r="T373" s="338"/>
      <c r="U373" s="338"/>
    </row>
    <row r="374" spans="2:21">
      <c r="B374" s="412"/>
      <c r="C374" s="412"/>
      <c r="D374" s="1645"/>
      <c r="E374" s="1645"/>
      <c r="F374" s="1645"/>
      <c r="G374" s="1645"/>
      <c r="H374" s="1645"/>
      <c r="I374" s="1645"/>
      <c r="J374" s="1645"/>
      <c r="K374" s="1645"/>
      <c r="L374" s="1645"/>
      <c r="M374" s="338"/>
      <c r="N374" s="338"/>
      <c r="O374" s="338"/>
      <c r="P374" s="338"/>
      <c r="Q374" s="338"/>
      <c r="R374" s="338"/>
      <c r="S374" s="338"/>
      <c r="T374" s="338"/>
      <c r="U374" s="338"/>
    </row>
    <row r="375" spans="2:21">
      <c r="B375" s="515"/>
      <c r="C375" s="318"/>
      <c r="D375" s="318"/>
      <c r="E375" s="318"/>
      <c r="F375" s="318"/>
      <c r="G375" s="318"/>
      <c r="H375" s="318"/>
      <c r="I375" s="318"/>
      <c r="J375" s="318"/>
      <c r="K375" s="318"/>
      <c r="L375" s="318"/>
      <c r="M375" s="318"/>
    </row>
    <row r="376" spans="2:21">
      <c r="B376" s="515"/>
      <c r="C376" s="318"/>
      <c r="D376" s="318"/>
      <c r="E376" s="318"/>
      <c r="F376" s="318"/>
      <c r="G376" s="318"/>
      <c r="H376" s="318"/>
      <c r="I376" s="318"/>
      <c r="J376" s="318"/>
      <c r="K376" s="318"/>
      <c r="L376" s="318"/>
      <c r="M376" s="318"/>
    </row>
    <row r="377" spans="2:21">
      <c r="B377" s="515"/>
      <c r="C377" s="318"/>
      <c r="D377" s="318"/>
      <c r="E377" s="318"/>
      <c r="F377" s="318"/>
      <c r="G377" s="318"/>
      <c r="H377" s="318"/>
      <c r="I377" s="318"/>
      <c r="J377" s="318"/>
      <c r="K377" s="318"/>
      <c r="L377" s="318"/>
      <c r="M377" s="318"/>
    </row>
    <row r="378" spans="2:21">
      <c r="B378" s="515"/>
      <c r="C378" s="318"/>
      <c r="D378" s="318"/>
      <c r="E378" s="318"/>
      <c r="F378" s="318"/>
      <c r="G378" s="318"/>
      <c r="H378" s="318"/>
      <c r="I378" s="318"/>
      <c r="J378" s="318"/>
      <c r="K378" s="318"/>
      <c r="L378" s="318"/>
      <c r="M378" s="318"/>
    </row>
    <row r="379" spans="2:21">
      <c r="B379" s="515"/>
      <c r="C379" s="318"/>
      <c r="D379" s="318"/>
      <c r="E379" s="318"/>
      <c r="F379" s="318"/>
      <c r="G379" s="318"/>
      <c r="H379" s="318"/>
      <c r="I379" s="318"/>
      <c r="J379" s="318"/>
      <c r="K379" s="318"/>
      <c r="L379" s="318"/>
      <c r="M379" s="318"/>
    </row>
    <row r="380" spans="2:21">
      <c r="B380" s="515"/>
      <c r="C380" s="318"/>
      <c r="D380" s="318"/>
      <c r="E380" s="318"/>
      <c r="F380" s="318"/>
      <c r="G380" s="318"/>
      <c r="H380" s="318"/>
      <c r="I380" s="318"/>
      <c r="J380" s="318"/>
      <c r="K380" s="318"/>
      <c r="L380" s="318"/>
      <c r="M380" s="318"/>
    </row>
    <row r="381" spans="2:21">
      <c r="B381" s="515"/>
      <c r="C381" s="318"/>
      <c r="D381" s="318"/>
      <c r="E381" s="318"/>
      <c r="F381" s="318"/>
      <c r="G381" s="318"/>
      <c r="H381" s="318"/>
      <c r="I381" s="318"/>
      <c r="J381" s="318"/>
      <c r="K381" s="318"/>
      <c r="L381" s="318"/>
      <c r="M381" s="318"/>
    </row>
    <row r="382" spans="2:21">
      <c r="B382" s="515"/>
      <c r="C382" s="318"/>
      <c r="D382" s="318"/>
      <c r="E382" s="318"/>
      <c r="F382" s="318"/>
      <c r="G382" s="318"/>
      <c r="H382" s="318"/>
      <c r="I382" s="318"/>
      <c r="J382" s="318"/>
      <c r="K382" s="318"/>
      <c r="L382" s="318"/>
      <c r="M382" s="318"/>
    </row>
    <row r="383" spans="2:21">
      <c r="B383" s="515"/>
      <c r="C383" s="318"/>
      <c r="D383" s="318"/>
      <c r="E383" s="318"/>
      <c r="F383" s="318"/>
      <c r="G383" s="318"/>
      <c r="H383" s="318"/>
      <c r="I383" s="318"/>
      <c r="J383" s="318"/>
      <c r="K383" s="318"/>
      <c r="L383" s="318"/>
      <c r="M383" s="318"/>
    </row>
    <row r="384" spans="2:21">
      <c r="B384" s="515"/>
      <c r="C384" s="318"/>
      <c r="D384" s="318"/>
      <c r="E384" s="318"/>
      <c r="F384" s="318"/>
      <c r="G384" s="318"/>
      <c r="H384" s="318"/>
      <c r="I384" s="318"/>
      <c r="J384" s="318"/>
      <c r="K384" s="318"/>
      <c r="L384" s="318"/>
      <c r="M384" s="318"/>
    </row>
    <row r="385" spans="2:13">
      <c r="B385" s="515"/>
      <c r="C385" s="318"/>
      <c r="D385" s="318"/>
      <c r="E385" s="318"/>
      <c r="F385" s="318"/>
      <c r="G385" s="318"/>
      <c r="H385" s="318"/>
      <c r="I385" s="318"/>
      <c r="J385" s="318"/>
      <c r="K385" s="318"/>
      <c r="L385" s="318"/>
      <c r="M385" s="318"/>
    </row>
    <row r="386" spans="2:13">
      <c r="B386" s="515"/>
      <c r="C386" s="318"/>
      <c r="D386" s="318"/>
      <c r="E386" s="318"/>
      <c r="F386" s="318"/>
      <c r="G386" s="318"/>
      <c r="H386" s="318"/>
      <c r="I386" s="318"/>
      <c r="J386" s="318"/>
      <c r="K386" s="318"/>
      <c r="L386" s="318"/>
      <c r="M386" s="318"/>
    </row>
    <row r="387" spans="2:13">
      <c r="B387" s="515"/>
      <c r="C387" s="318"/>
      <c r="D387" s="318"/>
      <c r="E387" s="318"/>
      <c r="F387" s="318"/>
      <c r="G387" s="318"/>
      <c r="H387" s="318"/>
      <c r="I387" s="318"/>
      <c r="J387" s="318"/>
      <c r="K387" s="318"/>
      <c r="L387" s="318"/>
      <c r="M387" s="318"/>
    </row>
    <row r="388" spans="2:13">
      <c r="B388" s="515"/>
      <c r="C388" s="318"/>
      <c r="D388" s="318"/>
      <c r="E388" s="318"/>
      <c r="F388" s="318"/>
      <c r="G388" s="318"/>
      <c r="H388" s="318"/>
      <c r="I388" s="318"/>
      <c r="J388" s="318"/>
      <c r="K388" s="318"/>
      <c r="L388" s="318"/>
      <c r="M388" s="318"/>
    </row>
    <row r="389" spans="2:13">
      <c r="B389" s="515"/>
      <c r="C389" s="318"/>
      <c r="D389" s="318"/>
      <c r="E389" s="318"/>
      <c r="F389" s="318"/>
      <c r="G389" s="318"/>
      <c r="H389" s="318"/>
      <c r="I389" s="318"/>
      <c r="J389" s="318"/>
      <c r="K389" s="318"/>
      <c r="L389" s="318"/>
      <c r="M389" s="318"/>
    </row>
    <row r="390" spans="2:13">
      <c r="B390" s="515"/>
      <c r="C390" s="318"/>
      <c r="D390" s="318"/>
      <c r="E390" s="318"/>
      <c r="F390" s="318"/>
      <c r="G390" s="318"/>
      <c r="H390" s="318"/>
      <c r="I390" s="318"/>
      <c r="J390" s="318"/>
      <c r="K390" s="318"/>
      <c r="L390" s="318"/>
      <c r="M390" s="318"/>
    </row>
    <row r="391" spans="2:13">
      <c r="B391" s="515"/>
      <c r="C391" s="318"/>
      <c r="D391" s="318"/>
      <c r="E391" s="318"/>
      <c r="F391" s="318"/>
      <c r="G391" s="318"/>
      <c r="H391" s="318"/>
      <c r="I391" s="318"/>
      <c r="J391" s="318"/>
      <c r="K391" s="318"/>
      <c r="L391" s="318"/>
      <c r="M391" s="318"/>
    </row>
    <row r="392" spans="2:13">
      <c r="B392" s="515"/>
      <c r="C392" s="318"/>
      <c r="D392" s="318"/>
      <c r="E392" s="318"/>
      <c r="F392" s="318"/>
      <c r="G392" s="318"/>
      <c r="H392" s="318"/>
      <c r="I392" s="318"/>
      <c r="J392" s="318"/>
      <c r="K392" s="318"/>
      <c r="L392" s="318"/>
      <c r="M392" s="318"/>
    </row>
    <row r="393" spans="2:13">
      <c r="B393" s="515"/>
      <c r="C393" s="318"/>
      <c r="D393" s="318"/>
      <c r="E393" s="318"/>
      <c r="F393" s="318"/>
      <c r="G393" s="318"/>
      <c r="H393" s="318"/>
      <c r="I393" s="318"/>
      <c r="J393" s="318"/>
      <c r="K393" s="318"/>
      <c r="L393" s="318"/>
      <c r="M393" s="318"/>
    </row>
    <row r="394" spans="2:13">
      <c r="B394" s="515"/>
      <c r="C394" s="318"/>
      <c r="D394" s="318"/>
      <c r="E394" s="318"/>
      <c r="F394" s="318"/>
      <c r="G394" s="318"/>
      <c r="H394" s="318"/>
      <c r="I394" s="318"/>
      <c r="J394" s="318"/>
      <c r="K394" s="318"/>
      <c r="L394" s="318"/>
      <c r="M394" s="318"/>
    </row>
    <row r="395" spans="2:13">
      <c r="B395" s="515"/>
      <c r="C395" s="318"/>
      <c r="D395" s="318"/>
      <c r="E395" s="318"/>
      <c r="F395" s="318"/>
      <c r="G395" s="318"/>
      <c r="H395" s="318"/>
      <c r="I395" s="318"/>
      <c r="J395" s="318"/>
      <c r="K395" s="318"/>
      <c r="L395" s="318"/>
      <c r="M395" s="318"/>
    </row>
    <row r="396" spans="2:13">
      <c r="B396" s="515"/>
      <c r="C396" s="318"/>
      <c r="D396" s="318"/>
      <c r="E396" s="318"/>
      <c r="F396" s="318"/>
      <c r="G396" s="318"/>
      <c r="H396" s="318"/>
      <c r="I396" s="318"/>
      <c r="J396" s="318"/>
      <c r="K396" s="318"/>
      <c r="L396" s="318"/>
      <c r="M396" s="318"/>
    </row>
    <row r="397" spans="2:13">
      <c r="B397" s="515"/>
      <c r="C397" s="318"/>
      <c r="D397" s="318"/>
      <c r="E397" s="318"/>
      <c r="F397" s="318"/>
      <c r="G397" s="318"/>
      <c r="H397" s="318"/>
      <c r="I397" s="318"/>
      <c r="J397" s="318"/>
      <c r="K397" s="318"/>
      <c r="L397" s="318"/>
      <c r="M397" s="318"/>
    </row>
    <row r="398" spans="2:13">
      <c r="B398" s="515"/>
      <c r="C398" s="318"/>
      <c r="D398" s="318"/>
      <c r="E398" s="318"/>
      <c r="F398" s="318"/>
      <c r="G398" s="318"/>
      <c r="H398" s="318"/>
      <c r="I398" s="318"/>
      <c r="J398" s="318"/>
      <c r="K398" s="318"/>
      <c r="L398" s="318"/>
      <c r="M398" s="318"/>
    </row>
    <row r="399" spans="2:13">
      <c r="B399" s="515"/>
      <c r="C399" s="318"/>
      <c r="D399" s="318"/>
      <c r="E399" s="318"/>
      <c r="F399" s="318"/>
      <c r="G399" s="318"/>
      <c r="H399" s="318"/>
      <c r="I399" s="318"/>
      <c r="J399" s="318"/>
      <c r="K399" s="318"/>
      <c r="L399" s="318"/>
      <c r="M399" s="318"/>
    </row>
    <row r="400" spans="2:13">
      <c r="B400" s="515"/>
      <c r="C400" s="318"/>
      <c r="D400" s="318"/>
      <c r="E400" s="318"/>
      <c r="F400" s="318"/>
      <c r="G400" s="318"/>
      <c r="H400" s="318"/>
      <c r="I400" s="318"/>
      <c r="J400" s="318"/>
      <c r="K400" s="318"/>
      <c r="L400" s="318"/>
      <c r="M400" s="318"/>
    </row>
    <row r="401" spans="2:13">
      <c r="B401" s="515"/>
      <c r="C401" s="318"/>
      <c r="D401" s="318"/>
      <c r="E401" s="318"/>
      <c r="F401" s="318"/>
      <c r="G401" s="318"/>
      <c r="H401" s="318"/>
      <c r="I401" s="318"/>
      <c r="J401" s="318"/>
      <c r="K401" s="318"/>
      <c r="L401" s="318"/>
      <c r="M401" s="318"/>
    </row>
    <row r="402" spans="2:13">
      <c r="B402" s="515"/>
      <c r="C402" s="318"/>
      <c r="D402" s="318"/>
      <c r="E402" s="318"/>
      <c r="F402" s="318"/>
      <c r="G402" s="318"/>
      <c r="H402" s="318"/>
      <c r="I402" s="318"/>
      <c r="J402" s="318"/>
      <c r="K402" s="318"/>
      <c r="L402" s="318"/>
      <c r="M402" s="318"/>
    </row>
    <row r="403" spans="2:13">
      <c r="B403" s="515"/>
      <c r="C403" s="318"/>
      <c r="D403" s="318"/>
      <c r="E403" s="318"/>
      <c r="F403" s="318"/>
      <c r="G403" s="318"/>
      <c r="H403" s="318"/>
      <c r="I403" s="318"/>
      <c r="J403" s="318"/>
      <c r="K403" s="318"/>
      <c r="L403" s="318"/>
      <c r="M403" s="318"/>
    </row>
    <row r="404" spans="2:13">
      <c r="B404" s="515"/>
      <c r="C404" s="318"/>
      <c r="D404" s="318"/>
      <c r="E404" s="318"/>
      <c r="F404" s="318"/>
      <c r="G404" s="318"/>
      <c r="H404" s="318"/>
      <c r="I404" s="318"/>
      <c r="J404" s="318"/>
      <c r="K404" s="318"/>
      <c r="L404" s="318"/>
      <c r="M404" s="318"/>
    </row>
    <row r="405" spans="2:13">
      <c r="B405" s="515"/>
      <c r="C405" s="318"/>
      <c r="D405" s="318"/>
      <c r="E405" s="318"/>
      <c r="F405" s="318"/>
      <c r="G405" s="318"/>
      <c r="H405" s="318"/>
      <c r="I405" s="318"/>
      <c r="J405" s="318"/>
      <c r="K405" s="318"/>
      <c r="L405" s="318"/>
      <c r="M405" s="318"/>
    </row>
    <row r="406" spans="2:13">
      <c r="B406" s="515"/>
      <c r="C406" s="318"/>
      <c r="D406" s="318"/>
      <c r="E406" s="318"/>
      <c r="F406" s="318"/>
      <c r="G406" s="318"/>
      <c r="H406" s="318"/>
      <c r="I406" s="318"/>
      <c r="J406" s="318"/>
      <c r="K406" s="318"/>
      <c r="L406" s="318"/>
      <c r="M406" s="318"/>
    </row>
    <row r="407" spans="2:13">
      <c r="B407" s="515"/>
      <c r="C407" s="318"/>
      <c r="D407" s="318"/>
      <c r="E407" s="318"/>
      <c r="F407" s="318"/>
      <c r="G407" s="318"/>
      <c r="H407" s="318"/>
      <c r="I407" s="318"/>
      <c r="J407" s="318"/>
      <c r="K407" s="318"/>
      <c r="L407" s="318"/>
      <c r="M407" s="318"/>
    </row>
    <row r="408" spans="2:13">
      <c r="B408" s="515"/>
      <c r="C408" s="318"/>
      <c r="D408" s="318"/>
      <c r="E408" s="318"/>
      <c r="F408" s="318"/>
      <c r="G408" s="318"/>
      <c r="H408" s="318"/>
      <c r="I408" s="318"/>
      <c r="J408" s="318"/>
      <c r="K408" s="318"/>
      <c r="L408" s="318"/>
      <c r="M408" s="318"/>
    </row>
    <row r="409" spans="2:13">
      <c r="B409" s="515"/>
      <c r="C409" s="318"/>
      <c r="D409" s="318"/>
      <c r="E409" s="318"/>
      <c r="F409" s="318"/>
      <c r="G409" s="318"/>
      <c r="H409" s="318"/>
      <c r="I409" s="318"/>
      <c r="J409" s="318"/>
      <c r="K409" s="318"/>
      <c r="L409" s="318"/>
      <c r="M409" s="318"/>
    </row>
    <row r="410" spans="2:13">
      <c r="B410" s="515"/>
      <c r="C410" s="318"/>
      <c r="D410" s="318"/>
      <c r="E410" s="318"/>
      <c r="F410" s="318"/>
      <c r="G410" s="318"/>
      <c r="H410" s="318"/>
      <c r="I410" s="318"/>
      <c r="J410" s="318"/>
      <c r="K410" s="318"/>
      <c r="L410" s="318"/>
      <c r="M410" s="318"/>
    </row>
    <row r="411" spans="2:13">
      <c r="B411" s="515"/>
      <c r="C411" s="318"/>
      <c r="D411" s="318"/>
      <c r="E411" s="318"/>
      <c r="F411" s="318"/>
      <c r="G411" s="318"/>
      <c r="H411" s="318"/>
      <c r="I411" s="318"/>
      <c r="J411" s="318"/>
      <c r="K411" s="318"/>
      <c r="L411" s="318"/>
      <c r="M411" s="318"/>
    </row>
    <row r="412" spans="2:13">
      <c r="B412" s="515"/>
      <c r="C412" s="318"/>
      <c r="D412" s="318"/>
      <c r="E412" s="318"/>
      <c r="F412" s="318"/>
      <c r="G412" s="318"/>
      <c r="H412" s="318"/>
      <c r="I412" s="318"/>
      <c r="J412" s="318"/>
      <c r="K412" s="318"/>
      <c r="L412" s="318"/>
      <c r="M412" s="318"/>
    </row>
    <row r="413" spans="2:13">
      <c r="B413" s="515"/>
      <c r="C413" s="318"/>
      <c r="D413" s="318"/>
      <c r="E413" s="318"/>
      <c r="F413" s="318"/>
      <c r="G413" s="318"/>
      <c r="H413" s="318"/>
      <c r="I413" s="318"/>
      <c r="J413" s="318"/>
      <c r="K413" s="318"/>
      <c r="L413" s="318"/>
      <c r="M413" s="318"/>
    </row>
    <row r="414" spans="2:13">
      <c r="B414" s="515"/>
      <c r="C414" s="318"/>
      <c r="D414" s="318"/>
      <c r="E414" s="318"/>
      <c r="F414" s="318"/>
      <c r="G414" s="318"/>
      <c r="H414" s="318"/>
      <c r="I414" s="318"/>
      <c r="J414" s="318"/>
      <c r="K414" s="318"/>
      <c r="L414" s="318"/>
      <c r="M414" s="318"/>
    </row>
    <row r="415" spans="2:13">
      <c r="B415" s="515"/>
      <c r="C415" s="318"/>
      <c r="D415" s="318"/>
      <c r="E415" s="318"/>
      <c r="F415" s="318"/>
      <c r="G415" s="318"/>
      <c r="H415" s="318"/>
      <c r="I415" s="318"/>
      <c r="J415" s="318"/>
      <c r="K415" s="318"/>
      <c r="L415" s="318"/>
      <c r="M415" s="318"/>
    </row>
    <row r="416" spans="2:13">
      <c r="B416" s="515"/>
      <c r="C416" s="318"/>
      <c r="D416" s="318"/>
      <c r="E416" s="318"/>
      <c r="F416" s="318"/>
      <c r="G416" s="318"/>
      <c r="H416" s="318"/>
      <c r="I416" s="318"/>
      <c r="J416" s="318"/>
      <c r="K416" s="318"/>
      <c r="L416" s="318"/>
      <c r="M416" s="318"/>
    </row>
    <row r="417" spans="2:13">
      <c r="B417" s="515"/>
      <c r="C417" s="318"/>
      <c r="D417" s="318"/>
      <c r="E417" s="318"/>
      <c r="F417" s="318"/>
      <c r="G417" s="318"/>
      <c r="H417" s="318"/>
      <c r="I417" s="318"/>
      <c r="J417" s="318"/>
      <c r="K417" s="318"/>
      <c r="L417" s="318"/>
      <c r="M417" s="318"/>
    </row>
    <row r="418" spans="2:13">
      <c r="B418" s="515"/>
      <c r="C418" s="318"/>
      <c r="D418" s="318"/>
      <c r="E418" s="318"/>
      <c r="F418" s="318"/>
      <c r="G418" s="318"/>
      <c r="H418" s="318"/>
      <c r="I418" s="318"/>
      <c r="J418" s="318"/>
      <c r="K418" s="318"/>
      <c r="L418" s="318"/>
      <c r="M418" s="318"/>
    </row>
    <row r="419" spans="2:13">
      <c r="B419" s="515"/>
      <c r="C419" s="318"/>
      <c r="D419" s="318"/>
      <c r="E419" s="318"/>
      <c r="F419" s="318"/>
      <c r="G419" s="318"/>
      <c r="H419" s="318"/>
      <c r="I419" s="318"/>
      <c r="J419" s="318"/>
      <c r="K419" s="318"/>
      <c r="L419" s="318"/>
      <c r="M419" s="318"/>
    </row>
    <row r="420" spans="2:13">
      <c r="B420" s="515"/>
      <c r="C420" s="318"/>
      <c r="D420" s="318"/>
      <c r="E420" s="318"/>
      <c r="F420" s="318"/>
      <c r="G420" s="318"/>
      <c r="H420" s="318"/>
      <c r="I420" s="318"/>
      <c r="J420" s="318"/>
      <c r="K420" s="318"/>
      <c r="L420" s="318"/>
      <c r="M420" s="318"/>
    </row>
    <row r="421" spans="2:13">
      <c r="B421" s="515"/>
      <c r="C421" s="318"/>
      <c r="D421" s="318"/>
      <c r="E421" s="318"/>
      <c r="F421" s="318"/>
      <c r="G421" s="318"/>
      <c r="H421" s="318"/>
      <c r="I421" s="318"/>
      <c r="J421" s="318"/>
      <c r="K421" s="318"/>
      <c r="L421" s="318"/>
      <c r="M421" s="318"/>
    </row>
    <row r="422" spans="2:13">
      <c r="B422" s="515"/>
      <c r="C422" s="318"/>
      <c r="D422" s="318"/>
      <c r="E422" s="318"/>
      <c r="F422" s="318"/>
      <c r="G422" s="318"/>
      <c r="H422" s="318"/>
      <c r="I422" s="318"/>
      <c r="J422" s="318"/>
      <c r="K422" s="318"/>
      <c r="L422" s="318"/>
      <c r="M422" s="318"/>
    </row>
    <row r="423" spans="2:13">
      <c r="B423" s="515"/>
      <c r="C423" s="318"/>
      <c r="D423" s="318"/>
      <c r="E423" s="318"/>
      <c r="F423" s="318"/>
      <c r="G423" s="318"/>
      <c r="H423" s="318"/>
      <c r="I423" s="318"/>
      <c r="J423" s="318"/>
      <c r="K423" s="318"/>
      <c r="L423" s="318"/>
      <c r="M423" s="318"/>
    </row>
    <row r="424" spans="2:13">
      <c r="B424" s="515"/>
      <c r="C424" s="318"/>
      <c r="D424" s="318"/>
      <c r="E424" s="318"/>
      <c r="F424" s="318"/>
      <c r="G424" s="318"/>
      <c r="H424" s="318"/>
      <c r="I424" s="318"/>
      <c r="J424" s="318"/>
      <c r="K424" s="318"/>
      <c r="L424" s="318"/>
      <c r="M424" s="318"/>
    </row>
    <row r="425" spans="2:13">
      <c r="B425" s="515"/>
      <c r="C425" s="318"/>
      <c r="D425" s="318"/>
      <c r="E425" s="318"/>
      <c r="F425" s="318"/>
      <c r="G425" s="318"/>
      <c r="H425" s="318"/>
      <c r="I425" s="318"/>
      <c r="J425" s="318"/>
      <c r="K425" s="318"/>
      <c r="L425" s="318"/>
      <c r="M425" s="318"/>
    </row>
    <row r="426" spans="2:13">
      <c r="B426" s="515"/>
      <c r="C426" s="318"/>
      <c r="D426" s="318"/>
      <c r="E426" s="318"/>
      <c r="F426" s="318"/>
      <c r="G426" s="318"/>
      <c r="H426" s="318"/>
      <c r="I426" s="318"/>
      <c r="J426" s="318"/>
      <c r="K426" s="318"/>
      <c r="L426" s="318"/>
      <c r="M426" s="318"/>
    </row>
    <row r="427" spans="2:13">
      <c r="B427" s="515"/>
      <c r="C427" s="318"/>
      <c r="D427" s="318"/>
      <c r="E427" s="318"/>
      <c r="F427" s="318"/>
      <c r="G427" s="318"/>
      <c r="H427" s="318"/>
      <c r="I427" s="318"/>
      <c r="J427" s="318"/>
      <c r="K427" s="318"/>
      <c r="L427" s="318"/>
      <c r="M427" s="318"/>
    </row>
    <row r="428" spans="2:13">
      <c r="B428" s="515"/>
      <c r="C428" s="318"/>
      <c r="D428" s="318"/>
      <c r="E428" s="318"/>
      <c r="F428" s="318"/>
      <c r="G428" s="318"/>
      <c r="H428" s="318"/>
      <c r="I428" s="318"/>
      <c r="J428" s="318"/>
      <c r="K428" s="318"/>
      <c r="L428" s="318"/>
      <c r="M428" s="318"/>
    </row>
    <row r="429" spans="2:13">
      <c r="B429" s="515"/>
      <c r="C429" s="318"/>
      <c r="D429" s="318"/>
      <c r="E429" s="318"/>
      <c r="F429" s="318"/>
      <c r="G429" s="318"/>
      <c r="H429" s="318"/>
      <c r="I429" s="318"/>
      <c r="J429" s="318"/>
      <c r="K429" s="318"/>
      <c r="L429" s="318"/>
      <c r="M429" s="318"/>
    </row>
    <row r="430" spans="2:13">
      <c r="B430" s="515"/>
      <c r="C430" s="318"/>
      <c r="D430" s="318"/>
      <c r="E430" s="318"/>
      <c r="F430" s="318"/>
      <c r="G430" s="318"/>
      <c r="H430" s="318"/>
      <c r="I430" s="318"/>
      <c r="J430" s="318"/>
      <c r="K430" s="318"/>
      <c r="L430" s="318"/>
      <c r="M430" s="318"/>
    </row>
    <row r="431" spans="2:13">
      <c r="B431" s="515"/>
      <c r="C431" s="318"/>
      <c r="D431" s="318"/>
      <c r="E431" s="318"/>
      <c r="F431" s="318"/>
      <c r="G431" s="318"/>
      <c r="H431" s="318"/>
      <c r="I431" s="318"/>
      <c r="J431" s="318"/>
      <c r="K431" s="318"/>
      <c r="L431" s="318"/>
      <c r="M431" s="318"/>
    </row>
    <row r="432" spans="2:13">
      <c r="B432" s="515"/>
      <c r="C432" s="318"/>
      <c r="D432" s="318"/>
      <c r="E432" s="318"/>
      <c r="F432" s="318"/>
      <c r="G432" s="318"/>
      <c r="H432" s="318"/>
      <c r="I432" s="318"/>
      <c r="J432" s="318"/>
      <c r="K432" s="318"/>
      <c r="L432" s="318"/>
      <c r="M432" s="318"/>
    </row>
    <row r="433" spans="2:13">
      <c r="B433" s="515"/>
      <c r="C433" s="318"/>
      <c r="D433" s="318"/>
      <c r="E433" s="318"/>
      <c r="F433" s="318"/>
      <c r="G433" s="318"/>
      <c r="H433" s="318"/>
      <c r="I433" s="318"/>
      <c r="J433" s="318"/>
      <c r="K433" s="318"/>
      <c r="L433" s="318"/>
      <c r="M433" s="318"/>
    </row>
    <row r="434" spans="2:13">
      <c r="B434" s="515"/>
      <c r="C434" s="318"/>
      <c r="D434" s="318"/>
      <c r="E434" s="318"/>
      <c r="F434" s="318"/>
      <c r="G434" s="318"/>
      <c r="H434" s="318"/>
      <c r="I434" s="318"/>
      <c r="J434" s="318"/>
      <c r="K434" s="318"/>
      <c r="L434" s="318"/>
      <c r="M434" s="318"/>
    </row>
    <row r="435" spans="2:13">
      <c r="B435" s="515"/>
      <c r="C435" s="318"/>
      <c r="D435" s="318"/>
      <c r="E435" s="318"/>
      <c r="F435" s="318"/>
      <c r="G435" s="318"/>
      <c r="H435" s="318"/>
      <c r="I435" s="318"/>
      <c r="J435" s="318"/>
      <c r="K435" s="318"/>
      <c r="L435" s="318"/>
      <c r="M435" s="318"/>
    </row>
    <row r="436" spans="2:13">
      <c r="B436" s="515"/>
      <c r="C436" s="318"/>
      <c r="D436" s="318"/>
      <c r="E436" s="318"/>
      <c r="F436" s="318"/>
      <c r="G436" s="318"/>
      <c r="H436" s="318"/>
      <c r="I436" s="318"/>
      <c r="J436" s="318"/>
      <c r="K436" s="318"/>
      <c r="L436" s="318"/>
      <c r="M436" s="318"/>
    </row>
    <row r="437" spans="2:13">
      <c r="B437" s="515"/>
      <c r="C437" s="318"/>
      <c r="D437" s="318"/>
      <c r="E437" s="318"/>
      <c r="F437" s="318"/>
      <c r="G437" s="318"/>
      <c r="H437" s="318"/>
      <c r="I437" s="318"/>
      <c r="J437" s="318"/>
      <c r="K437" s="318"/>
      <c r="L437" s="318"/>
      <c r="M437" s="318"/>
    </row>
    <row r="438" spans="2:13">
      <c r="B438" s="515"/>
      <c r="C438" s="318"/>
      <c r="D438" s="318"/>
      <c r="E438" s="318"/>
      <c r="F438" s="318"/>
      <c r="G438" s="318"/>
      <c r="H438" s="318"/>
      <c r="I438" s="318"/>
      <c r="J438" s="318"/>
      <c r="K438" s="318"/>
      <c r="L438" s="318"/>
      <c r="M438" s="318"/>
    </row>
    <row r="439" spans="2:13">
      <c r="B439" s="515"/>
      <c r="C439" s="318"/>
      <c r="D439" s="318"/>
      <c r="E439" s="318"/>
      <c r="F439" s="318"/>
      <c r="G439" s="318"/>
      <c r="H439" s="318"/>
      <c r="I439" s="318"/>
      <c r="J439" s="318"/>
      <c r="K439" s="318"/>
      <c r="L439" s="318"/>
      <c r="M439" s="318"/>
    </row>
    <row r="440" spans="2:13">
      <c r="B440" s="515"/>
      <c r="C440" s="318"/>
      <c r="D440" s="318"/>
      <c r="E440" s="318"/>
      <c r="F440" s="318"/>
      <c r="G440" s="318"/>
      <c r="H440" s="318"/>
      <c r="I440" s="318"/>
      <c r="J440" s="318"/>
      <c r="K440" s="318"/>
      <c r="L440" s="318"/>
      <c r="M440" s="318"/>
    </row>
    <row r="441" spans="2:13">
      <c r="B441" s="515"/>
      <c r="C441" s="318"/>
      <c r="D441" s="318"/>
      <c r="E441" s="318"/>
      <c r="F441" s="318"/>
      <c r="G441" s="318"/>
      <c r="H441" s="318"/>
      <c r="I441" s="318"/>
      <c r="J441" s="318"/>
      <c r="K441" s="318"/>
      <c r="L441" s="318"/>
      <c r="M441" s="318"/>
    </row>
    <row r="442" spans="2:13">
      <c r="B442" s="515"/>
      <c r="C442" s="318"/>
      <c r="D442" s="318"/>
      <c r="E442" s="318"/>
      <c r="F442" s="318"/>
      <c r="G442" s="318"/>
      <c r="H442" s="318"/>
      <c r="I442" s="318"/>
      <c r="J442" s="318"/>
      <c r="K442" s="318"/>
      <c r="L442" s="318"/>
      <c r="M442" s="318"/>
    </row>
    <row r="443" spans="2:13">
      <c r="B443" s="515"/>
      <c r="C443" s="318"/>
      <c r="D443" s="318"/>
      <c r="E443" s="318"/>
      <c r="F443" s="318"/>
      <c r="G443" s="318"/>
      <c r="H443" s="318"/>
      <c r="I443" s="318"/>
      <c r="J443" s="318"/>
      <c r="K443" s="318"/>
      <c r="L443" s="318"/>
      <c r="M443" s="318"/>
    </row>
    <row r="444" spans="2:13">
      <c r="B444" s="515"/>
      <c r="C444" s="318"/>
      <c r="D444" s="318"/>
      <c r="E444" s="318"/>
      <c r="F444" s="318"/>
      <c r="G444" s="318"/>
      <c r="H444" s="318"/>
      <c r="I444" s="318"/>
      <c r="J444" s="318"/>
      <c r="K444" s="318"/>
      <c r="L444" s="318"/>
      <c r="M444" s="318"/>
    </row>
    <row r="445" spans="2:13">
      <c r="B445" s="515"/>
      <c r="C445" s="318"/>
      <c r="D445" s="318"/>
      <c r="E445" s="318"/>
      <c r="F445" s="318"/>
      <c r="G445" s="318"/>
      <c r="H445" s="318"/>
      <c r="I445" s="318"/>
      <c r="J445" s="318"/>
      <c r="K445" s="318"/>
      <c r="L445" s="318"/>
      <c r="M445" s="318"/>
    </row>
    <row r="446" spans="2:13">
      <c r="B446" s="515"/>
      <c r="C446" s="318"/>
      <c r="D446" s="318"/>
      <c r="E446" s="318"/>
      <c r="F446" s="318"/>
      <c r="G446" s="318"/>
      <c r="H446" s="318"/>
      <c r="I446" s="318"/>
      <c r="J446" s="318"/>
      <c r="K446" s="318"/>
      <c r="L446" s="318"/>
      <c r="M446" s="318"/>
    </row>
    <row r="447" spans="2:13">
      <c r="B447" s="515"/>
      <c r="C447" s="318"/>
      <c r="D447" s="318"/>
      <c r="E447" s="318"/>
      <c r="F447" s="318"/>
      <c r="G447" s="318"/>
      <c r="H447" s="318"/>
      <c r="I447" s="318"/>
      <c r="J447" s="318"/>
      <c r="K447" s="318"/>
      <c r="L447" s="318"/>
      <c r="M447" s="318"/>
    </row>
    <row r="448" spans="2:13">
      <c r="B448" s="515"/>
      <c r="C448" s="318"/>
      <c r="D448" s="318"/>
      <c r="E448" s="318"/>
      <c r="F448" s="318"/>
      <c r="G448" s="318"/>
      <c r="H448" s="318"/>
      <c r="I448" s="318"/>
      <c r="J448" s="318"/>
      <c r="K448" s="318"/>
      <c r="L448" s="318"/>
      <c r="M448" s="318"/>
    </row>
    <row r="449" spans="2:13">
      <c r="B449" s="515"/>
      <c r="C449" s="318"/>
      <c r="D449" s="318"/>
      <c r="E449" s="318"/>
      <c r="F449" s="318"/>
      <c r="G449" s="318"/>
      <c r="H449" s="318"/>
      <c r="I449" s="318"/>
      <c r="J449" s="318"/>
      <c r="K449" s="318"/>
      <c r="L449" s="318"/>
      <c r="M449" s="318"/>
    </row>
    <row r="450" spans="2:13">
      <c r="B450" s="515"/>
      <c r="C450" s="318"/>
      <c r="D450" s="318"/>
      <c r="E450" s="318"/>
      <c r="F450" s="318"/>
      <c r="G450" s="318"/>
      <c r="H450" s="318"/>
      <c r="I450" s="318"/>
      <c r="J450" s="318"/>
      <c r="K450" s="318"/>
      <c r="L450" s="318"/>
      <c r="M450" s="318"/>
    </row>
    <row r="451" spans="2:13">
      <c r="B451" s="515"/>
      <c r="C451" s="318"/>
      <c r="D451" s="318"/>
      <c r="E451" s="318"/>
      <c r="F451" s="318"/>
      <c r="G451" s="318"/>
      <c r="H451" s="318"/>
      <c r="I451" s="318"/>
      <c r="J451" s="318"/>
      <c r="K451" s="318"/>
      <c r="L451" s="318"/>
      <c r="M451" s="318"/>
    </row>
    <row r="452" spans="2:13">
      <c r="B452" s="515"/>
      <c r="C452" s="318"/>
      <c r="D452" s="318"/>
      <c r="E452" s="318"/>
      <c r="F452" s="318"/>
      <c r="G452" s="318"/>
      <c r="H452" s="318"/>
      <c r="I452" s="318"/>
      <c r="J452" s="318"/>
      <c r="K452" s="318"/>
      <c r="L452" s="318"/>
      <c r="M452" s="318"/>
    </row>
    <row r="453" spans="2:13">
      <c r="B453" s="515"/>
      <c r="C453" s="318"/>
      <c r="D453" s="318"/>
      <c r="E453" s="318"/>
      <c r="F453" s="318"/>
      <c r="G453" s="318"/>
      <c r="H453" s="318"/>
      <c r="I453" s="318"/>
      <c r="J453" s="318"/>
      <c r="K453" s="318"/>
      <c r="L453" s="318"/>
      <c r="M453" s="318"/>
    </row>
    <row r="454" spans="2:13">
      <c r="B454" s="515"/>
      <c r="C454" s="318"/>
      <c r="D454" s="318"/>
      <c r="E454" s="318"/>
      <c r="F454" s="318"/>
      <c r="G454" s="318"/>
      <c r="H454" s="318"/>
      <c r="I454" s="318"/>
      <c r="J454" s="318"/>
      <c r="K454" s="318"/>
      <c r="L454" s="318"/>
      <c r="M454" s="318"/>
    </row>
    <row r="455" spans="2:13">
      <c r="B455" s="515"/>
      <c r="C455" s="318"/>
      <c r="D455" s="318"/>
      <c r="E455" s="318"/>
      <c r="F455" s="318"/>
      <c r="G455" s="318"/>
      <c r="H455" s="318"/>
      <c r="I455" s="318"/>
      <c r="J455" s="318"/>
      <c r="K455" s="318"/>
      <c r="L455" s="318"/>
      <c r="M455" s="318"/>
    </row>
    <row r="456" spans="2:13">
      <c r="B456" s="515"/>
      <c r="C456" s="318"/>
      <c r="D456" s="318"/>
      <c r="E456" s="318"/>
      <c r="F456" s="318"/>
      <c r="G456" s="318"/>
      <c r="H456" s="318"/>
      <c r="I456" s="318"/>
      <c r="J456" s="318"/>
      <c r="K456" s="318"/>
      <c r="L456" s="318"/>
      <c r="M456" s="318"/>
    </row>
    <row r="457" spans="2:13">
      <c r="B457" s="515"/>
      <c r="C457" s="318"/>
      <c r="D457" s="318"/>
      <c r="E457" s="318"/>
      <c r="F457" s="318"/>
      <c r="G457" s="318"/>
      <c r="H457" s="318"/>
      <c r="I457" s="318"/>
      <c r="J457" s="318"/>
      <c r="K457" s="318"/>
      <c r="L457" s="318"/>
      <c r="M457" s="318"/>
    </row>
    <row r="458" spans="2:13">
      <c r="B458" s="515"/>
      <c r="C458" s="318"/>
      <c r="D458" s="318"/>
      <c r="E458" s="318"/>
      <c r="F458" s="318"/>
      <c r="G458" s="318"/>
      <c r="H458" s="318"/>
      <c r="I458" s="318"/>
      <c r="J458" s="318"/>
      <c r="K458" s="318"/>
      <c r="L458" s="318"/>
      <c r="M458" s="318"/>
    </row>
    <row r="459" spans="2:13">
      <c r="B459" s="515"/>
      <c r="C459" s="318"/>
      <c r="D459" s="318"/>
      <c r="E459" s="318"/>
      <c r="F459" s="318"/>
      <c r="G459" s="318"/>
      <c r="H459" s="318"/>
      <c r="I459" s="318"/>
      <c r="J459" s="318"/>
      <c r="K459" s="318"/>
      <c r="L459" s="318"/>
      <c r="M459" s="318"/>
    </row>
    <row r="460" spans="2:13">
      <c r="B460" s="515"/>
      <c r="C460" s="318"/>
      <c r="D460" s="318"/>
      <c r="E460" s="318"/>
      <c r="F460" s="318"/>
      <c r="G460" s="318"/>
      <c r="H460" s="318"/>
      <c r="I460" s="318"/>
      <c r="J460" s="318"/>
      <c r="K460" s="318"/>
      <c r="L460" s="318"/>
      <c r="M460" s="318"/>
    </row>
    <row r="461" spans="2:13">
      <c r="B461" s="515"/>
      <c r="C461" s="318"/>
      <c r="D461" s="318"/>
      <c r="E461" s="318"/>
      <c r="F461" s="318"/>
      <c r="G461" s="318"/>
      <c r="H461" s="318"/>
      <c r="I461" s="318"/>
      <c r="J461" s="318"/>
      <c r="K461" s="318"/>
      <c r="L461" s="318"/>
      <c r="M461" s="318"/>
    </row>
    <row r="462" spans="2:13">
      <c r="B462" s="515"/>
      <c r="C462" s="318"/>
      <c r="D462" s="318"/>
      <c r="E462" s="318"/>
      <c r="F462" s="318"/>
      <c r="G462" s="318"/>
      <c r="H462" s="318"/>
      <c r="I462" s="318"/>
      <c r="J462" s="318"/>
      <c r="K462" s="318"/>
      <c r="L462" s="318"/>
      <c r="M462" s="318"/>
    </row>
    <row r="463" spans="2:13">
      <c r="B463" s="515"/>
      <c r="C463" s="318"/>
      <c r="D463" s="318"/>
      <c r="E463" s="318"/>
      <c r="F463" s="318"/>
      <c r="G463" s="318"/>
      <c r="H463" s="318"/>
      <c r="I463" s="318"/>
      <c r="J463" s="318"/>
      <c r="K463" s="318"/>
      <c r="L463" s="318"/>
      <c r="M463" s="318"/>
    </row>
    <row r="464" spans="2:13">
      <c r="B464" s="515"/>
      <c r="C464" s="318"/>
      <c r="D464" s="318"/>
      <c r="E464" s="318"/>
      <c r="F464" s="318"/>
      <c r="G464" s="318"/>
      <c r="H464" s="318"/>
      <c r="I464" s="318"/>
      <c r="J464" s="318"/>
      <c r="K464" s="318"/>
      <c r="L464" s="318"/>
      <c r="M464" s="318"/>
    </row>
    <row r="465" spans="2:13">
      <c r="B465" s="515"/>
      <c r="C465" s="318"/>
      <c r="D465" s="318"/>
      <c r="E465" s="318"/>
      <c r="F465" s="318"/>
      <c r="G465" s="318"/>
      <c r="H465" s="318"/>
      <c r="I465" s="318"/>
      <c r="J465" s="318"/>
      <c r="K465" s="318"/>
      <c r="L465" s="318"/>
      <c r="M465" s="318"/>
    </row>
    <row r="466" spans="2:13">
      <c r="B466" s="515"/>
      <c r="C466" s="318"/>
      <c r="D466" s="318"/>
      <c r="E466" s="318"/>
      <c r="F466" s="318"/>
      <c r="G466" s="318"/>
      <c r="H466" s="318"/>
      <c r="I466" s="318"/>
      <c r="J466" s="318"/>
      <c r="K466" s="318"/>
      <c r="L466" s="318"/>
      <c r="M466" s="318"/>
    </row>
    <row r="467" spans="2:13">
      <c r="B467" s="515"/>
      <c r="C467" s="318"/>
      <c r="D467" s="318"/>
      <c r="E467" s="318"/>
      <c r="F467" s="318"/>
      <c r="G467" s="318"/>
      <c r="H467" s="318"/>
      <c r="I467" s="318"/>
      <c r="J467" s="318"/>
      <c r="K467" s="318"/>
      <c r="L467" s="318"/>
      <c r="M467" s="318"/>
    </row>
    <row r="468" spans="2:13">
      <c r="B468" s="515"/>
      <c r="C468" s="318"/>
      <c r="D468" s="318"/>
      <c r="E468" s="318"/>
      <c r="F468" s="318"/>
      <c r="G468" s="318"/>
      <c r="H468" s="318"/>
      <c r="I468" s="318"/>
      <c r="J468" s="318"/>
      <c r="K468" s="318"/>
      <c r="L468" s="318"/>
      <c r="M468" s="318"/>
    </row>
    <row r="469" spans="2:13">
      <c r="B469" s="515"/>
      <c r="C469" s="318"/>
      <c r="D469" s="318"/>
      <c r="E469" s="318"/>
      <c r="F469" s="318"/>
      <c r="G469" s="318"/>
      <c r="H469" s="318"/>
      <c r="I469" s="318"/>
      <c r="J469" s="318"/>
      <c r="K469" s="318"/>
      <c r="L469" s="318"/>
      <c r="M469" s="318"/>
    </row>
    <row r="470" spans="2:13">
      <c r="B470" s="515"/>
      <c r="C470" s="318"/>
      <c r="D470" s="318"/>
      <c r="E470" s="318"/>
      <c r="F470" s="318"/>
      <c r="G470" s="318"/>
      <c r="H470" s="318"/>
      <c r="I470" s="318"/>
      <c r="J470" s="318"/>
      <c r="K470" s="318"/>
      <c r="L470" s="318"/>
      <c r="M470" s="318"/>
    </row>
    <row r="471" spans="2:13">
      <c r="B471" s="515"/>
      <c r="C471" s="318"/>
      <c r="D471" s="318"/>
      <c r="E471" s="318"/>
      <c r="F471" s="318"/>
      <c r="G471" s="318"/>
      <c r="H471" s="318"/>
      <c r="I471" s="318"/>
      <c r="J471" s="318"/>
      <c r="K471" s="318"/>
      <c r="L471" s="318"/>
      <c r="M471" s="318"/>
    </row>
    <row r="472" spans="2:13">
      <c r="B472" s="515"/>
      <c r="C472" s="318"/>
      <c r="D472" s="318"/>
      <c r="E472" s="318"/>
      <c r="F472" s="318"/>
      <c r="G472" s="318"/>
      <c r="H472" s="318"/>
      <c r="I472" s="318"/>
      <c r="J472" s="318"/>
      <c r="K472" s="318"/>
      <c r="L472" s="318"/>
      <c r="M472" s="318"/>
    </row>
    <row r="473" spans="2:13">
      <c r="B473" s="515"/>
      <c r="C473" s="318"/>
      <c r="D473" s="318"/>
      <c r="E473" s="318"/>
      <c r="F473" s="318"/>
      <c r="G473" s="318"/>
      <c r="H473" s="318"/>
      <c r="I473" s="318"/>
      <c r="J473" s="318"/>
      <c r="K473" s="318"/>
      <c r="L473" s="318"/>
      <c r="M473" s="318"/>
    </row>
    <row r="474" spans="2:13">
      <c r="B474" s="515"/>
      <c r="C474" s="318"/>
      <c r="D474" s="318"/>
      <c r="E474" s="318"/>
      <c r="F474" s="318"/>
      <c r="G474" s="318"/>
      <c r="H474" s="318"/>
      <c r="I474" s="318"/>
      <c r="J474" s="318"/>
      <c r="K474" s="318"/>
      <c r="L474" s="318"/>
      <c r="M474" s="318"/>
    </row>
    <row r="475" spans="2:13">
      <c r="B475" s="515"/>
      <c r="C475" s="318"/>
      <c r="D475" s="318"/>
      <c r="E475" s="318"/>
      <c r="F475" s="318"/>
      <c r="G475" s="318"/>
      <c r="H475" s="318"/>
      <c r="I475" s="318"/>
      <c r="J475" s="318"/>
      <c r="K475" s="318"/>
      <c r="L475" s="318"/>
      <c r="M475" s="318"/>
    </row>
    <row r="476" spans="2:13">
      <c r="B476" s="515"/>
      <c r="C476" s="318"/>
      <c r="D476" s="318"/>
      <c r="E476" s="318"/>
      <c r="F476" s="318"/>
      <c r="G476" s="318"/>
      <c r="H476" s="318"/>
      <c r="I476" s="318"/>
      <c r="J476" s="318"/>
      <c r="K476" s="318"/>
      <c r="L476" s="318"/>
      <c r="M476" s="318"/>
    </row>
    <row r="477" spans="2:13">
      <c r="B477" s="515"/>
      <c r="C477" s="318"/>
      <c r="D477" s="318"/>
      <c r="E477" s="318"/>
      <c r="F477" s="318"/>
      <c r="G477" s="318"/>
      <c r="H477" s="318"/>
      <c r="I477" s="318"/>
      <c r="J477" s="318"/>
      <c r="K477" s="318"/>
      <c r="L477" s="318"/>
      <c r="M477" s="318"/>
    </row>
    <row r="478" spans="2:13">
      <c r="B478" s="515"/>
      <c r="C478" s="318"/>
      <c r="D478" s="318"/>
      <c r="E478" s="318"/>
      <c r="F478" s="318"/>
      <c r="G478" s="318"/>
      <c r="H478" s="318"/>
      <c r="I478" s="318"/>
      <c r="J478" s="318"/>
      <c r="K478" s="318"/>
      <c r="L478" s="318"/>
      <c r="M478" s="318"/>
    </row>
    <row r="479" spans="2:13">
      <c r="B479" s="515"/>
      <c r="C479" s="318"/>
      <c r="D479" s="318"/>
      <c r="E479" s="318"/>
      <c r="F479" s="318"/>
      <c r="G479" s="318"/>
      <c r="H479" s="318"/>
      <c r="I479" s="318"/>
      <c r="J479" s="318"/>
      <c r="K479" s="318"/>
      <c r="L479" s="318"/>
      <c r="M479" s="318"/>
    </row>
    <row r="480" spans="2:13">
      <c r="B480" s="515"/>
      <c r="C480" s="318"/>
      <c r="D480" s="318"/>
      <c r="E480" s="318"/>
      <c r="F480" s="318"/>
      <c r="G480" s="318"/>
      <c r="H480" s="318"/>
      <c r="I480" s="318"/>
      <c r="J480" s="318"/>
      <c r="K480" s="318"/>
      <c r="L480" s="318"/>
      <c r="M480" s="318"/>
    </row>
    <row r="481" spans="2:13">
      <c r="B481" s="515"/>
      <c r="C481" s="318"/>
      <c r="D481" s="318"/>
      <c r="E481" s="318"/>
      <c r="F481" s="318"/>
      <c r="G481" s="318"/>
      <c r="H481" s="318"/>
      <c r="I481" s="318"/>
      <c r="J481" s="318"/>
      <c r="K481" s="318"/>
      <c r="L481" s="318"/>
      <c r="M481" s="318"/>
    </row>
    <row r="482" spans="2:13">
      <c r="B482" s="515"/>
      <c r="C482" s="318"/>
      <c r="D482" s="318"/>
      <c r="E482" s="318"/>
      <c r="F482" s="318"/>
      <c r="G482" s="318"/>
      <c r="H482" s="318"/>
      <c r="I482" s="318"/>
      <c r="J482" s="318"/>
      <c r="K482" s="318"/>
      <c r="L482" s="318"/>
      <c r="M482" s="318"/>
    </row>
    <row r="483" spans="2:13">
      <c r="B483" s="515"/>
      <c r="C483" s="318"/>
      <c r="D483" s="318"/>
      <c r="E483" s="318"/>
      <c r="F483" s="318"/>
      <c r="G483" s="318"/>
      <c r="H483" s="318"/>
      <c r="I483" s="318"/>
      <c r="J483" s="318"/>
      <c r="K483" s="318"/>
      <c r="L483" s="318"/>
      <c r="M483" s="318"/>
    </row>
    <row r="484" spans="2:13">
      <c r="B484" s="515"/>
      <c r="C484" s="318"/>
      <c r="D484" s="318"/>
      <c r="E484" s="318"/>
      <c r="F484" s="318"/>
      <c r="G484" s="318"/>
      <c r="H484" s="318"/>
      <c r="I484" s="318"/>
      <c r="J484" s="318"/>
      <c r="K484" s="318"/>
      <c r="L484" s="318"/>
      <c r="M484" s="318"/>
    </row>
    <row r="485" spans="2:13">
      <c r="B485" s="515"/>
      <c r="C485" s="318"/>
      <c r="D485" s="318"/>
      <c r="E485" s="318"/>
      <c r="F485" s="318"/>
      <c r="G485" s="318"/>
      <c r="H485" s="318"/>
      <c r="I485" s="318"/>
      <c r="J485" s="318"/>
      <c r="K485" s="318"/>
      <c r="L485" s="318"/>
      <c r="M485" s="318"/>
    </row>
    <row r="486" spans="2:13">
      <c r="B486" s="515"/>
      <c r="C486" s="318"/>
      <c r="D486" s="318"/>
      <c r="E486" s="318"/>
      <c r="F486" s="318"/>
      <c r="G486" s="318"/>
      <c r="H486" s="318"/>
      <c r="I486" s="318"/>
      <c r="J486" s="318"/>
      <c r="K486" s="318"/>
      <c r="L486" s="318"/>
      <c r="M486" s="318"/>
    </row>
    <row r="487" spans="2:13">
      <c r="B487" s="515"/>
      <c r="C487" s="318"/>
      <c r="D487" s="318"/>
      <c r="E487" s="318"/>
      <c r="F487" s="318"/>
      <c r="G487" s="318"/>
      <c r="H487" s="318"/>
      <c r="I487" s="318"/>
      <c r="J487" s="318"/>
      <c r="K487" s="318"/>
      <c r="L487" s="318"/>
      <c r="M487" s="318"/>
    </row>
    <row r="488" spans="2:13">
      <c r="B488" s="515"/>
      <c r="C488" s="318"/>
      <c r="D488" s="318"/>
      <c r="E488" s="318"/>
      <c r="F488" s="318"/>
      <c r="G488" s="318"/>
      <c r="H488" s="318"/>
      <c r="I488" s="318"/>
      <c r="J488" s="318"/>
      <c r="K488" s="318"/>
      <c r="L488" s="318"/>
      <c r="M488" s="318"/>
    </row>
    <row r="489" spans="2:13">
      <c r="B489" s="515"/>
      <c r="C489" s="318"/>
      <c r="D489" s="318"/>
      <c r="E489" s="318"/>
      <c r="F489" s="318"/>
      <c r="G489" s="318"/>
      <c r="H489" s="318"/>
      <c r="I489" s="318"/>
      <c r="J489" s="318"/>
      <c r="K489" s="318"/>
      <c r="L489" s="318"/>
      <c r="M489" s="318"/>
    </row>
    <row r="490" spans="2:13">
      <c r="B490" s="515"/>
      <c r="C490" s="318"/>
      <c r="D490" s="318"/>
      <c r="E490" s="318"/>
      <c r="F490" s="318"/>
      <c r="G490" s="318"/>
      <c r="H490" s="318"/>
      <c r="I490" s="318"/>
      <c r="J490" s="318"/>
      <c r="K490" s="318"/>
      <c r="L490" s="318"/>
      <c r="M490" s="318"/>
    </row>
    <row r="491" spans="2:13">
      <c r="B491" s="515"/>
      <c r="C491" s="318"/>
      <c r="D491" s="318"/>
      <c r="E491" s="318"/>
      <c r="F491" s="318"/>
      <c r="G491" s="318"/>
      <c r="H491" s="318"/>
      <c r="I491" s="318"/>
      <c r="J491" s="318"/>
      <c r="K491" s="318"/>
      <c r="L491" s="318"/>
      <c r="M491" s="318"/>
    </row>
    <row r="492" spans="2:13">
      <c r="B492" s="515"/>
      <c r="C492" s="318"/>
      <c r="D492" s="318"/>
      <c r="E492" s="318"/>
      <c r="F492" s="318"/>
      <c r="G492" s="318"/>
      <c r="H492" s="318"/>
      <c r="I492" s="318"/>
      <c r="J492" s="318"/>
      <c r="K492" s="318"/>
      <c r="L492" s="318"/>
      <c r="M492" s="318"/>
    </row>
    <row r="493" spans="2:13">
      <c r="B493" s="515"/>
      <c r="C493" s="318"/>
      <c r="D493" s="318"/>
      <c r="E493" s="318"/>
      <c r="F493" s="318"/>
      <c r="G493" s="318"/>
      <c r="H493" s="318"/>
      <c r="I493" s="318"/>
      <c r="J493" s="318"/>
      <c r="K493" s="318"/>
      <c r="L493" s="318"/>
      <c r="M493" s="318"/>
    </row>
    <row r="494" spans="2:13">
      <c r="B494" s="515"/>
      <c r="C494" s="318"/>
      <c r="D494" s="318"/>
      <c r="E494" s="318"/>
      <c r="F494" s="318"/>
      <c r="G494" s="318"/>
      <c r="H494" s="318"/>
      <c r="I494" s="318"/>
      <c r="J494" s="318"/>
      <c r="K494" s="318"/>
      <c r="L494" s="318"/>
      <c r="M494" s="318"/>
    </row>
    <row r="495" spans="2:13">
      <c r="B495" s="515"/>
      <c r="C495" s="318"/>
      <c r="D495" s="318"/>
      <c r="E495" s="318"/>
      <c r="F495" s="318"/>
      <c r="G495" s="318"/>
      <c r="H495" s="318"/>
      <c r="I495" s="318"/>
      <c r="J495" s="318"/>
      <c r="K495" s="318"/>
      <c r="L495" s="318"/>
      <c r="M495" s="318"/>
    </row>
    <row r="496" spans="2:13">
      <c r="B496" s="515"/>
      <c r="C496" s="318"/>
      <c r="D496" s="318"/>
      <c r="E496" s="318"/>
      <c r="F496" s="318"/>
      <c r="G496" s="318"/>
      <c r="H496" s="318"/>
      <c r="I496" s="318"/>
      <c r="J496" s="318"/>
      <c r="K496" s="318"/>
      <c r="L496" s="318"/>
      <c r="M496" s="318"/>
    </row>
    <row r="497" spans="2:13">
      <c r="B497" s="515"/>
      <c r="C497" s="318"/>
      <c r="D497" s="318"/>
      <c r="E497" s="318"/>
      <c r="F497" s="318"/>
      <c r="G497" s="318"/>
      <c r="H497" s="318"/>
      <c r="I497" s="318"/>
      <c r="J497" s="318"/>
      <c r="K497" s="318"/>
      <c r="L497" s="318"/>
      <c r="M497" s="318"/>
    </row>
    <row r="498" spans="2:13">
      <c r="B498" s="515"/>
      <c r="C498" s="318"/>
      <c r="D498" s="318"/>
      <c r="E498" s="318"/>
      <c r="F498" s="318"/>
      <c r="G498" s="318"/>
      <c r="H498" s="318"/>
      <c r="I498" s="318"/>
      <c r="J498" s="318"/>
      <c r="K498" s="318"/>
      <c r="L498" s="318"/>
      <c r="M498" s="318"/>
    </row>
    <row r="499" spans="2:13">
      <c r="B499" s="515"/>
      <c r="C499" s="318"/>
      <c r="D499" s="318"/>
      <c r="E499" s="318"/>
      <c r="F499" s="318"/>
      <c r="G499" s="318"/>
      <c r="H499" s="318"/>
      <c r="I499" s="318"/>
      <c r="J499" s="318"/>
      <c r="K499" s="318"/>
      <c r="L499" s="318"/>
      <c r="M499" s="318"/>
    </row>
    <row r="500" spans="2:13">
      <c r="B500" s="515"/>
      <c r="C500" s="318"/>
      <c r="D500" s="318"/>
      <c r="E500" s="318"/>
      <c r="F500" s="318"/>
      <c r="G500" s="318"/>
      <c r="H500" s="318"/>
      <c r="I500" s="318"/>
      <c r="J500" s="318"/>
      <c r="K500" s="318"/>
      <c r="L500" s="318"/>
      <c r="M500" s="318"/>
    </row>
    <row r="501" spans="2:13">
      <c r="B501" s="515"/>
      <c r="C501" s="318"/>
      <c r="D501" s="318"/>
      <c r="E501" s="318"/>
      <c r="F501" s="318"/>
      <c r="G501" s="318"/>
      <c r="H501" s="318"/>
      <c r="I501" s="318"/>
      <c r="J501" s="318"/>
      <c r="K501" s="318"/>
      <c r="L501" s="318"/>
      <c r="M501" s="318"/>
    </row>
    <row r="502" spans="2:13">
      <c r="B502" s="515"/>
      <c r="C502" s="318"/>
      <c r="D502" s="318"/>
      <c r="E502" s="318"/>
      <c r="F502" s="318"/>
      <c r="G502" s="318"/>
      <c r="H502" s="318"/>
      <c r="I502" s="318"/>
      <c r="J502" s="318"/>
      <c r="K502" s="318"/>
      <c r="L502" s="318"/>
      <c r="M502" s="318"/>
    </row>
    <row r="503" spans="2:13">
      <c r="B503" s="515"/>
      <c r="C503" s="318"/>
      <c r="D503" s="318"/>
      <c r="E503" s="318"/>
      <c r="F503" s="318"/>
      <c r="G503" s="318"/>
      <c r="H503" s="318"/>
      <c r="I503" s="318"/>
      <c r="J503" s="318"/>
      <c r="K503" s="318"/>
      <c r="L503" s="318"/>
      <c r="M503" s="318"/>
    </row>
    <row r="504" spans="2:13">
      <c r="B504" s="515"/>
      <c r="C504" s="318"/>
      <c r="D504" s="318"/>
      <c r="E504" s="318"/>
      <c r="F504" s="318"/>
      <c r="G504" s="318"/>
      <c r="H504" s="318"/>
      <c r="I504" s="318"/>
      <c r="J504" s="318"/>
      <c r="K504" s="318"/>
      <c r="L504" s="318"/>
      <c r="M504" s="318"/>
    </row>
    <row r="505" spans="2:13">
      <c r="B505" s="515"/>
      <c r="C505" s="318"/>
      <c r="D505" s="318"/>
      <c r="E505" s="318"/>
      <c r="F505" s="318"/>
      <c r="G505" s="318"/>
      <c r="H505" s="318"/>
      <c r="I505" s="318"/>
      <c r="J505" s="318"/>
      <c r="K505" s="318"/>
      <c r="L505" s="318"/>
      <c r="M505" s="318"/>
    </row>
    <row r="506" spans="2:13">
      <c r="B506" s="515"/>
      <c r="C506" s="318"/>
      <c r="D506" s="318"/>
      <c r="E506" s="318"/>
      <c r="F506" s="318"/>
      <c r="G506" s="318"/>
      <c r="H506" s="318"/>
      <c r="I506" s="318"/>
      <c r="J506" s="318"/>
      <c r="K506" s="318"/>
      <c r="L506" s="318"/>
      <c r="M506" s="318"/>
    </row>
    <row r="507" spans="2:13">
      <c r="B507" s="515"/>
      <c r="C507" s="318"/>
      <c r="D507" s="318"/>
      <c r="E507" s="318"/>
      <c r="F507" s="318"/>
      <c r="G507" s="318"/>
      <c r="H507" s="318"/>
      <c r="I507" s="318"/>
      <c r="J507" s="318"/>
      <c r="K507" s="318"/>
      <c r="L507" s="318"/>
      <c r="M507" s="318"/>
    </row>
    <row r="508" spans="2:13">
      <c r="B508" s="515"/>
      <c r="C508" s="318"/>
      <c r="D508" s="318"/>
      <c r="E508" s="318"/>
      <c r="F508" s="318"/>
      <c r="G508" s="318"/>
      <c r="H508" s="318"/>
      <c r="I508" s="318"/>
      <c r="J508" s="318"/>
      <c r="K508" s="318"/>
      <c r="L508" s="318"/>
      <c r="M508" s="318"/>
    </row>
    <row r="509" spans="2:13">
      <c r="B509" s="515"/>
      <c r="C509" s="318"/>
      <c r="D509" s="318"/>
      <c r="E509" s="318"/>
      <c r="F509" s="318"/>
      <c r="G509" s="318"/>
      <c r="H509" s="318"/>
      <c r="I509" s="318"/>
      <c r="J509" s="318"/>
      <c r="K509" s="318"/>
      <c r="L509" s="318"/>
      <c r="M509" s="318"/>
    </row>
    <row r="510" spans="2:13">
      <c r="B510" s="515"/>
      <c r="C510" s="318"/>
      <c r="D510" s="318"/>
      <c r="E510" s="318"/>
      <c r="F510" s="318"/>
      <c r="G510" s="318"/>
      <c r="H510" s="318"/>
      <c r="I510" s="318"/>
      <c r="J510" s="318"/>
      <c r="K510" s="318"/>
      <c r="L510" s="318"/>
      <c r="M510" s="318"/>
    </row>
    <row r="511" spans="2:13">
      <c r="B511" s="515"/>
      <c r="C511" s="318"/>
      <c r="D511" s="318"/>
      <c r="E511" s="318"/>
      <c r="F511" s="318"/>
      <c r="G511" s="318"/>
      <c r="H511" s="318"/>
      <c r="I511" s="318"/>
      <c r="J511" s="318"/>
      <c r="K511" s="318"/>
      <c r="L511" s="318"/>
      <c r="M511" s="318"/>
    </row>
    <row r="512" spans="2:13">
      <c r="B512" s="515"/>
      <c r="C512" s="318"/>
      <c r="D512" s="318"/>
      <c r="E512" s="318"/>
      <c r="F512" s="318"/>
      <c r="G512" s="318"/>
      <c r="H512" s="318"/>
      <c r="I512" s="318"/>
      <c r="J512" s="318"/>
      <c r="K512" s="318"/>
      <c r="L512" s="318"/>
      <c r="M512" s="318"/>
    </row>
    <row r="513" spans="2:13">
      <c r="B513" s="515"/>
      <c r="C513" s="318"/>
      <c r="D513" s="318"/>
      <c r="E513" s="318"/>
      <c r="F513" s="318"/>
      <c r="G513" s="318"/>
      <c r="H513" s="318"/>
      <c r="I513" s="318"/>
      <c r="J513" s="318"/>
      <c r="K513" s="318"/>
      <c r="L513" s="318"/>
      <c r="M513" s="318"/>
    </row>
    <row r="514" spans="2:13">
      <c r="B514" s="515"/>
      <c r="C514" s="318"/>
      <c r="D514" s="318"/>
      <c r="E514" s="318"/>
      <c r="F514" s="318"/>
      <c r="G514" s="318"/>
      <c r="H514" s="318"/>
      <c r="I514" s="318"/>
      <c r="J514" s="318"/>
      <c r="K514" s="318"/>
      <c r="L514" s="318"/>
      <c r="M514" s="318"/>
    </row>
    <row r="515" spans="2:13">
      <c r="B515" s="515"/>
      <c r="C515" s="318"/>
      <c r="D515" s="318"/>
      <c r="E515" s="318"/>
      <c r="F515" s="318"/>
      <c r="G515" s="318"/>
      <c r="H515" s="318"/>
      <c r="I515" s="318"/>
      <c r="J515" s="318"/>
      <c r="K515" s="318"/>
      <c r="L515" s="318"/>
      <c r="M515" s="318"/>
    </row>
    <row r="516" spans="2:13">
      <c r="B516" s="515"/>
      <c r="C516" s="318"/>
      <c r="D516" s="318"/>
      <c r="E516" s="318"/>
      <c r="F516" s="318"/>
      <c r="G516" s="318"/>
      <c r="H516" s="318"/>
      <c r="I516" s="318"/>
      <c r="J516" s="318"/>
      <c r="K516" s="318"/>
      <c r="L516" s="318"/>
      <c r="M516" s="318"/>
    </row>
    <row r="517" spans="2:13">
      <c r="B517" s="515"/>
      <c r="C517" s="318"/>
      <c r="D517" s="318"/>
      <c r="E517" s="318"/>
      <c r="F517" s="318"/>
      <c r="G517" s="318"/>
      <c r="H517" s="318"/>
      <c r="I517" s="318"/>
      <c r="J517" s="318"/>
      <c r="K517" s="318"/>
      <c r="L517" s="318"/>
      <c r="M517" s="318"/>
    </row>
    <row r="518" spans="2:13">
      <c r="B518" s="515"/>
      <c r="C518" s="318"/>
      <c r="D518" s="318"/>
      <c r="E518" s="318"/>
      <c r="F518" s="318"/>
      <c r="G518" s="318"/>
      <c r="H518" s="318"/>
      <c r="I518" s="318"/>
      <c r="J518" s="318"/>
      <c r="K518" s="318"/>
      <c r="L518" s="318"/>
      <c r="M518" s="318"/>
    </row>
    <row r="519" spans="2:13">
      <c r="B519" s="515"/>
      <c r="C519" s="318"/>
      <c r="D519" s="318"/>
      <c r="E519" s="318"/>
      <c r="F519" s="318"/>
      <c r="G519" s="318"/>
      <c r="H519" s="318"/>
      <c r="I519" s="318"/>
      <c r="J519" s="318"/>
      <c r="K519" s="318"/>
      <c r="L519" s="318"/>
      <c r="M519" s="318"/>
    </row>
    <row r="520" spans="2:13">
      <c r="B520" s="515"/>
      <c r="C520" s="318"/>
      <c r="D520" s="318"/>
      <c r="E520" s="318"/>
      <c r="F520" s="318"/>
      <c r="G520" s="318"/>
      <c r="H520" s="318"/>
      <c r="I520" s="318"/>
      <c r="J520" s="318"/>
      <c r="K520" s="318"/>
      <c r="L520" s="318"/>
      <c r="M520" s="318"/>
    </row>
    <row r="521" spans="2:13">
      <c r="B521" s="515"/>
      <c r="C521" s="318"/>
      <c r="D521" s="318"/>
      <c r="E521" s="318"/>
      <c r="F521" s="318"/>
      <c r="G521" s="318"/>
      <c r="H521" s="318"/>
      <c r="I521" s="318"/>
      <c r="J521" s="318"/>
      <c r="K521" s="318"/>
      <c r="L521" s="318"/>
      <c r="M521" s="318"/>
    </row>
    <row r="522" spans="2:13">
      <c r="B522" s="515"/>
      <c r="C522" s="318"/>
      <c r="D522" s="318"/>
      <c r="E522" s="318"/>
      <c r="F522" s="318"/>
      <c r="G522" s="318"/>
      <c r="H522" s="318"/>
      <c r="I522" s="318"/>
      <c r="J522" s="318"/>
      <c r="K522" s="318"/>
      <c r="L522" s="318"/>
      <c r="M522" s="318"/>
    </row>
    <row r="523" spans="2:13">
      <c r="B523" s="515"/>
      <c r="C523" s="318"/>
      <c r="D523" s="318"/>
      <c r="E523" s="318"/>
      <c r="F523" s="318"/>
      <c r="G523" s="318"/>
      <c r="H523" s="318"/>
      <c r="I523" s="318"/>
      <c r="J523" s="318"/>
      <c r="K523" s="318"/>
      <c r="L523" s="318"/>
      <c r="M523" s="318"/>
    </row>
    <row r="524" spans="2:13">
      <c r="B524" s="515"/>
      <c r="C524" s="318"/>
      <c r="D524" s="318"/>
      <c r="E524" s="318"/>
      <c r="F524" s="318"/>
      <c r="G524" s="318"/>
      <c r="H524" s="318"/>
      <c r="I524" s="318"/>
      <c r="J524" s="318"/>
      <c r="K524" s="318"/>
      <c r="L524" s="318"/>
      <c r="M524" s="318"/>
    </row>
    <row r="525" spans="2:13">
      <c r="B525" s="515"/>
      <c r="C525" s="318"/>
      <c r="D525" s="318"/>
      <c r="E525" s="318"/>
      <c r="F525" s="318"/>
      <c r="G525" s="318"/>
      <c r="H525" s="318"/>
      <c r="I525" s="318"/>
      <c r="J525" s="318"/>
      <c r="K525" s="318"/>
      <c r="L525" s="318"/>
      <c r="M525" s="318"/>
    </row>
    <row r="526" spans="2:13">
      <c r="B526" s="515"/>
      <c r="C526" s="318"/>
      <c r="D526" s="318"/>
      <c r="E526" s="318"/>
      <c r="F526" s="318"/>
      <c r="G526" s="318"/>
      <c r="H526" s="318"/>
      <c r="I526" s="318"/>
      <c r="J526" s="318"/>
      <c r="K526" s="318"/>
      <c r="L526" s="318"/>
      <c r="M526" s="318"/>
    </row>
    <row r="527" spans="2:13">
      <c r="B527" s="515"/>
      <c r="C527" s="318"/>
      <c r="D527" s="318"/>
      <c r="E527" s="318"/>
      <c r="F527" s="318"/>
      <c r="G527" s="318"/>
      <c r="H527" s="318"/>
      <c r="I527" s="318"/>
      <c r="J527" s="318"/>
      <c r="K527" s="318"/>
      <c r="L527" s="318"/>
      <c r="M527" s="318"/>
    </row>
    <row r="528" spans="2:13">
      <c r="B528" s="515"/>
      <c r="C528" s="318"/>
      <c r="D528" s="318"/>
      <c r="E528" s="318"/>
      <c r="F528" s="318"/>
      <c r="G528" s="318"/>
      <c r="H528" s="318"/>
      <c r="I528" s="318"/>
      <c r="J528" s="318"/>
      <c r="K528" s="318"/>
      <c r="L528" s="318"/>
      <c r="M528" s="318"/>
    </row>
    <row r="529" spans="2:13">
      <c r="B529" s="515"/>
      <c r="C529" s="318"/>
      <c r="D529" s="318"/>
      <c r="E529" s="318"/>
      <c r="F529" s="318"/>
      <c r="G529" s="318"/>
      <c r="H529" s="318"/>
      <c r="I529" s="318"/>
      <c r="J529" s="318"/>
      <c r="K529" s="318"/>
      <c r="L529" s="318"/>
      <c r="M529" s="318"/>
    </row>
    <row r="530" spans="2:13">
      <c r="B530" s="515"/>
      <c r="C530" s="318"/>
      <c r="D530" s="318"/>
      <c r="E530" s="318"/>
      <c r="F530" s="318"/>
      <c r="G530" s="318"/>
      <c r="H530" s="318"/>
      <c r="I530" s="318"/>
      <c r="J530" s="318"/>
      <c r="K530" s="318"/>
      <c r="L530" s="318"/>
      <c r="M530" s="318"/>
    </row>
    <row r="531" spans="2:13">
      <c r="B531" s="515"/>
      <c r="C531" s="318"/>
      <c r="D531" s="318"/>
      <c r="E531" s="318"/>
      <c r="F531" s="318"/>
      <c r="G531" s="318"/>
      <c r="H531" s="318"/>
      <c r="I531" s="318"/>
      <c r="J531" s="318"/>
      <c r="K531" s="318"/>
      <c r="L531" s="318"/>
      <c r="M531" s="318"/>
    </row>
    <row r="532" spans="2:13">
      <c r="B532" s="515"/>
      <c r="C532" s="318"/>
      <c r="D532" s="318"/>
      <c r="E532" s="318"/>
      <c r="F532" s="318"/>
      <c r="G532" s="318"/>
      <c r="H532" s="318"/>
      <c r="I532" s="318"/>
      <c r="J532" s="318"/>
      <c r="K532" s="318"/>
      <c r="L532" s="318"/>
      <c r="M532" s="318"/>
    </row>
    <row r="533" spans="2:13">
      <c r="B533" s="515"/>
      <c r="C533" s="318"/>
      <c r="D533" s="318"/>
      <c r="E533" s="318"/>
      <c r="F533" s="318"/>
      <c r="G533" s="318"/>
      <c r="H533" s="318"/>
      <c r="I533" s="318"/>
      <c r="J533" s="318"/>
      <c r="K533" s="318"/>
      <c r="L533" s="318"/>
      <c r="M533" s="318"/>
    </row>
    <row r="534" spans="2:13">
      <c r="B534" s="515"/>
      <c r="C534" s="318"/>
      <c r="D534" s="318"/>
      <c r="E534" s="318"/>
      <c r="F534" s="318"/>
      <c r="G534" s="318"/>
      <c r="H534" s="318"/>
      <c r="I534" s="318"/>
      <c r="J534" s="318"/>
      <c r="K534" s="318"/>
      <c r="L534" s="318"/>
      <c r="M534" s="318"/>
    </row>
    <row r="535" spans="2:13">
      <c r="B535" s="515"/>
      <c r="C535" s="318"/>
      <c r="D535" s="318"/>
      <c r="E535" s="318"/>
      <c r="F535" s="318"/>
      <c r="G535" s="318"/>
      <c r="H535" s="318"/>
      <c r="I535" s="318"/>
      <c r="J535" s="318"/>
      <c r="K535" s="318"/>
      <c r="L535" s="318"/>
      <c r="M535" s="318"/>
    </row>
    <row r="536" spans="2:13">
      <c r="B536" s="515"/>
      <c r="C536" s="318"/>
      <c r="D536" s="318"/>
      <c r="E536" s="318"/>
      <c r="F536" s="318"/>
      <c r="G536" s="318"/>
      <c r="H536" s="318"/>
      <c r="I536" s="318"/>
      <c r="J536" s="318"/>
      <c r="K536" s="318"/>
      <c r="L536" s="318"/>
      <c r="M536" s="318"/>
    </row>
    <row r="537" spans="2:13">
      <c r="B537" s="515"/>
      <c r="C537" s="318"/>
      <c r="D537" s="318"/>
      <c r="E537" s="318"/>
      <c r="F537" s="318"/>
      <c r="G537" s="318"/>
      <c r="H537" s="318"/>
      <c r="I537" s="318"/>
      <c r="J537" s="318"/>
      <c r="K537" s="318"/>
      <c r="L537" s="318"/>
      <c r="M537" s="318"/>
    </row>
    <row r="538" spans="2:13">
      <c r="B538" s="515"/>
      <c r="C538" s="318"/>
      <c r="D538" s="318"/>
      <c r="E538" s="318"/>
      <c r="F538" s="318"/>
      <c r="G538" s="318"/>
      <c r="H538" s="318"/>
      <c r="I538" s="318"/>
      <c r="J538" s="318"/>
      <c r="K538" s="318"/>
      <c r="L538" s="318"/>
      <c r="M538" s="318"/>
    </row>
    <row r="539" spans="2:13">
      <c r="B539" s="515"/>
      <c r="C539" s="318"/>
      <c r="D539" s="318"/>
      <c r="E539" s="318"/>
      <c r="F539" s="318"/>
      <c r="G539" s="318"/>
      <c r="H539" s="318"/>
      <c r="I539" s="318"/>
      <c r="J539" s="318"/>
      <c r="K539" s="318"/>
      <c r="L539" s="318"/>
      <c r="M539" s="318"/>
    </row>
    <row r="540" spans="2:13">
      <c r="B540" s="515"/>
      <c r="C540" s="318"/>
      <c r="D540" s="318"/>
      <c r="E540" s="318"/>
      <c r="F540" s="318"/>
      <c r="G540" s="318"/>
      <c r="H540" s="318"/>
      <c r="I540" s="318"/>
      <c r="J540" s="318"/>
      <c r="K540" s="318"/>
      <c r="L540" s="318"/>
      <c r="M540" s="318"/>
    </row>
    <row r="541" spans="2:13">
      <c r="B541" s="515"/>
      <c r="C541" s="318"/>
      <c r="D541" s="318"/>
      <c r="E541" s="318"/>
      <c r="F541" s="318"/>
      <c r="G541" s="318"/>
      <c r="H541" s="318"/>
      <c r="I541" s="318"/>
      <c r="J541" s="318"/>
      <c r="K541" s="318"/>
      <c r="L541" s="318"/>
      <c r="M541" s="318"/>
    </row>
    <row r="542" spans="2:13">
      <c r="B542" s="515"/>
      <c r="C542" s="318"/>
      <c r="D542" s="318"/>
      <c r="E542" s="318"/>
      <c r="F542" s="318"/>
      <c r="G542" s="318"/>
      <c r="H542" s="318"/>
      <c r="I542" s="318"/>
      <c r="J542" s="318"/>
      <c r="K542" s="318"/>
      <c r="L542" s="318"/>
      <c r="M542" s="318"/>
    </row>
    <row r="543" spans="2:13">
      <c r="B543" s="515"/>
      <c r="C543" s="318"/>
      <c r="D543" s="318"/>
      <c r="E543" s="318"/>
      <c r="F543" s="318"/>
      <c r="G543" s="318"/>
      <c r="H543" s="318"/>
      <c r="I543" s="318"/>
      <c r="J543" s="318"/>
      <c r="K543" s="318"/>
      <c r="L543" s="318"/>
      <c r="M543" s="318"/>
    </row>
    <row r="544" spans="2:13">
      <c r="B544" s="515"/>
      <c r="C544" s="318"/>
      <c r="D544" s="318"/>
      <c r="E544" s="318"/>
      <c r="F544" s="318"/>
      <c r="G544" s="318"/>
      <c r="H544" s="318"/>
      <c r="I544" s="318"/>
      <c r="J544" s="318"/>
      <c r="K544" s="318"/>
      <c r="L544" s="318"/>
      <c r="M544" s="318"/>
    </row>
    <row r="545" spans="2:13">
      <c r="B545" s="515"/>
      <c r="C545" s="318"/>
      <c r="D545" s="318"/>
      <c r="E545" s="318"/>
      <c r="F545" s="318"/>
      <c r="G545" s="318"/>
      <c r="H545" s="318"/>
      <c r="I545" s="318"/>
      <c r="J545" s="318"/>
      <c r="K545" s="318"/>
      <c r="L545" s="318"/>
      <c r="M545" s="318"/>
    </row>
    <row r="546" spans="2:13">
      <c r="B546" s="515"/>
      <c r="C546" s="318"/>
      <c r="D546" s="318"/>
      <c r="E546" s="318"/>
      <c r="F546" s="318"/>
      <c r="G546" s="318"/>
      <c r="H546" s="318"/>
      <c r="I546" s="318"/>
      <c r="J546" s="318"/>
      <c r="K546" s="318"/>
      <c r="L546" s="318"/>
      <c r="M546" s="318"/>
    </row>
    <row r="547" spans="2:13">
      <c r="B547" s="515"/>
      <c r="C547" s="318"/>
      <c r="D547" s="318"/>
      <c r="E547" s="318"/>
      <c r="F547" s="318"/>
      <c r="G547" s="318"/>
      <c r="H547" s="318"/>
      <c r="I547" s="318"/>
      <c r="J547" s="318"/>
      <c r="K547" s="318"/>
      <c r="L547" s="318"/>
      <c r="M547" s="318"/>
    </row>
    <row r="548" spans="2:13">
      <c r="B548" s="515"/>
      <c r="C548" s="318"/>
      <c r="D548" s="318"/>
      <c r="E548" s="318"/>
      <c r="F548" s="318"/>
      <c r="G548" s="318"/>
      <c r="H548" s="318"/>
      <c r="I548" s="318"/>
      <c r="J548" s="318"/>
      <c r="K548" s="318"/>
      <c r="L548" s="318"/>
      <c r="M548" s="318"/>
    </row>
    <row r="549" spans="2:13">
      <c r="B549" s="515"/>
      <c r="C549" s="318"/>
      <c r="D549" s="318"/>
      <c r="E549" s="318"/>
      <c r="F549" s="318"/>
      <c r="G549" s="318"/>
      <c r="H549" s="318"/>
      <c r="I549" s="318"/>
      <c r="J549" s="318"/>
      <c r="K549" s="318"/>
      <c r="L549" s="318"/>
      <c r="M549" s="318"/>
    </row>
    <row r="550" spans="2:13">
      <c r="B550" s="515"/>
      <c r="C550" s="318"/>
      <c r="D550" s="318"/>
      <c r="E550" s="318"/>
      <c r="F550" s="318"/>
      <c r="G550" s="318"/>
      <c r="H550" s="318"/>
      <c r="I550" s="318"/>
      <c r="J550" s="318"/>
      <c r="K550" s="318"/>
      <c r="L550" s="318"/>
      <c r="M550" s="318"/>
    </row>
    <row r="551" spans="2:13">
      <c r="B551" s="515"/>
      <c r="C551" s="318"/>
      <c r="D551" s="318"/>
      <c r="E551" s="318"/>
      <c r="F551" s="318"/>
      <c r="G551" s="318"/>
      <c r="H551" s="318"/>
      <c r="I551" s="318"/>
      <c r="J551" s="318"/>
      <c r="K551" s="318"/>
      <c r="L551" s="318"/>
      <c r="M551" s="318"/>
    </row>
    <row r="552" spans="2:13">
      <c r="B552" s="515"/>
      <c r="C552" s="318"/>
      <c r="D552" s="318"/>
      <c r="E552" s="318"/>
      <c r="F552" s="318"/>
      <c r="G552" s="318"/>
      <c r="H552" s="318"/>
      <c r="I552" s="318"/>
      <c r="J552" s="318"/>
      <c r="K552" s="318"/>
      <c r="L552" s="318"/>
      <c r="M552" s="318"/>
    </row>
    <row r="553" spans="2:13">
      <c r="B553" s="515"/>
      <c r="C553" s="318"/>
      <c r="D553" s="318"/>
      <c r="E553" s="318"/>
      <c r="F553" s="318"/>
      <c r="G553" s="318"/>
      <c r="H553" s="318"/>
      <c r="I553" s="318"/>
      <c r="J553" s="318"/>
      <c r="K553" s="318"/>
      <c r="L553" s="318"/>
      <c r="M553" s="318"/>
    </row>
    <row r="554" spans="2:13">
      <c r="B554" s="515"/>
      <c r="C554" s="318"/>
      <c r="D554" s="318"/>
      <c r="E554" s="318"/>
      <c r="F554" s="318"/>
      <c r="G554" s="318"/>
      <c r="H554" s="318"/>
      <c r="I554" s="318"/>
      <c r="J554" s="318"/>
      <c r="K554" s="318"/>
      <c r="L554" s="318"/>
      <c r="M554" s="318"/>
    </row>
    <row r="555" spans="2:13">
      <c r="B555" s="515"/>
      <c r="C555" s="318"/>
      <c r="D555" s="318"/>
      <c r="E555" s="318"/>
      <c r="F555" s="318"/>
      <c r="G555" s="318"/>
      <c r="H555" s="318"/>
      <c r="I555" s="318"/>
      <c r="J555" s="318"/>
      <c r="K555" s="318"/>
      <c r="L555" s="318"/>
      <c r="M555" s="318"/>
    </row>
    <row r="556" spans="2:13">
      <c r="B556" s="515"/>
      <c r="C556" s="318"/>
      <c r="D556" s="318"/>
      <c r="E556" s="318"/>
      <c r="F556" s="318"/>
      <c r="G556" s="318"/>
      <c r="H556" s="318"/>
      <c r="I556" s="318"/>
      <c r="J556" s="318"/>
      <c r="K556" s="318"/>
      <c r="L556" s="318"/>
      <c r="M556" s="318"/>
    </row>
    <row r="557" spans="2:13">
      <c r="B557" s="515"/>
      <c r="C557" s="318"/>
      <c r="D557" s="318"/>
      <c r="E557" s="318"/>
      <c r="F557" s="318"/>
      <c r="G557" s="318"/>
      <c r="H557" s="318"/>
      <c r="I557" s="318"/>
      <c r="J557" s="318"/>
      <c r="K557" s="318"/>
      <c r="L557" s="318"/>
      <c r="M557" s="318"/>
    </row>
    <row r="558" spans="2:13">
      <c r="B558" s="515"/>
      <c r="C558" s="318"/>
      <c r="D558" s="318"/>
      <c r="E558" s="318"/>
      <c r="F558" s="318"/>
      <c r="G558" s="318"/>
      <c r="H558" s="318"/>
      <c r="I558" s="318"/>
      <c r="J558" s="318"/>
      <c r="K558" s="318"/>
      <c r="L558" s="318"/>
      <c r="M558" s="318"/>
    </row>
    <row r="559" spans="2:13">
      <c r="B559" s="515"/>
      <c r="C559" s="318"/>
      <c r="D559" s="318"/>
      <c r="E559" s="318"/>
      <c r="F559" s="318"/>
      <c r="G559" s="318"/>
      <c r="H559" s="318"/>
      <c r="I559" s="318"/>
      <c r="J559" s="318"/>
      <c r="K559" s="318"/>
      <c r="L559" s="318"/>
      <c r="M559" s="318"/>
    </row>
    <row r="560" spans="2:13">
      <c r="B560" s="515"/>
      <c r="C560" s="318"/>
      <c r="D560" s="318"/>
      <c r="E560" s="318"/>
      <c r="F560" s="318"/>
      <c r="G560" s="318"/>
      <c r="H560" s="318"/>
      <c r="I560" s="318"/>
      <c r="J560" s="318"/>
      <c r="K560" s="318"/>
      <c r="L560" s="318"/>
      <c r="M560" s="318"/>
    </row>
    <row r="561" spans="2:13">
      <c r="B561" s="515"/>
      <c r="C561" s="318"/>
      <c r="D561" s="318"/>
      <c r="E561" s="318"/>
      <c r="F561" s="318"/>
      <c r="G561" s="318"/>
      <c r="H561" s="318"/>
      <c r="I561" s="318"/>
      <c r="J561" s="318"/>
      <c r="K561" s="318"/>
      <c r="L561" s="318"/>
      <c r="M561" s="318"/>
    </row>
    <row r="562" spans="2:13">
      <c r="B562" s="515"/>
      <c r="C562" s="318"/>
      <c r="D562" s="318"/>
      <c r="E562" s="318"/>
      <c r="F562" s="318"/>
      <c r="G562" s="318"/>
      <c r="H562" s="318"/>
      <c r="I562" s="318"/>
      <c r="J562" s="318"/>
      <c r="K562" s="318"/>
      <c r="L562" s="318"/>
      <c r="M562" s="318"/>
    </row>
    <row r="563" spans="2:13">
      <c r="B563" s="515"/>
      <c r="C563" s="318"/>
      <c r="D563" s="318"/>
      <c r="E563" s="318"/>
      <c r="F563" s="318"/>
      <c r="G563" s="318"/>
      <c r="H563" s="318"/>
      <c r="I563" s="318"/>
      <c r="J563" s="318"/>
      <c r="K563" s="318"/>
      <c r="L563" s="318"/>
      <c r="M563" s="318"/>
    </row>
    <row r="564" spans="2:13">
      <c r="B564" s="515"/>
      <c r="C564" s="318"/>
      <c r="D564" s="318"/>
      <c r="E564" s="318"/>
      <c r="F564" s="318"/>
      <c r="G564" s="318"/>
      <c r="H564" s="318"/>
      <c r="I564" s="318"/>
      <c r="J564" s="318"/>
      <c r="K564" s="318"/>
      <c r="L564" s="318"/>
      <c r="M564" s="318"/>
    </row>
    <row r="565" spans="2:13">
      <c r="B565" s="515"/>
      <c r="C565" s="318"/>
      <c r="D565" s="318"/>
      <c r="E565" s="318"/>
      <c r="F565" s="318"/>
      <c r="G565" s="318"/>
      <c r="H565" s="318"/>
      <c r="I565" s="318"/>
      <c r="J565" s="318"/>
      <c r="K565" s="318"/>
      <c r="L565" s="318"/>
      <c r="M565" s="318"/>
    </row>
    <row r="566" spans="2:13">
      <c r="B566" s="515"/>
      <c r="C566" s="318"/>
      <c r="D566" s="318"/>
      <c r="E566" s="318"/>
      <c r="F566" s="318"/>
      <c r="G566" s="318"/>
      <c r="H566" s="318"/>
      <c r="I566" s="318"/>
      <c r="J566" s="318"/>
      <c r="K566" s="318"/>
      <c r="L566" s="318"/>
      <c r="M566" s="318"/>
    </row>
    <row r="567" spans="2:13">
      <c r="B567" s="515"/>
      <c r="C567" s="318"/>
      <c r="D567" s="318"/>
      <c r="E567" s="318"/>
      <c r="F567" s="318"/>
      <c r="G567" s="318"/>
      <c r="H567" s="318"/>
      <c r="I567" s="318"/>
      <c r="J567" s="318"/>
      <c r="K567" s="318"/>
      <c r="L567" s="318"/>
      <c r="M567" s="318"/>
    </row>
    <row r="568" spans="2:13">
      <c r="B568" s="515"/>
      <c r="C568" s="318"/>
      <c r="D568" s="318"/>
      <c r="E568" s="318"/>
      <c r="F568" s="318"/>
      <c r="G568" s="318"/>
      <c r="H568" s="318"/>
      <c r="I568" s="318"/>
      <c r="J568" s="318"/>
      <c r="K568" s="318"/>
      <c r="L568" s="318"/>
      <c r="M568" s="318"/>
    </row>
    <row r="569" spans="2:13">
      <c r="B569" s="515"/>
      <c r="C569" s="318"/>
      <c r="D569" s="318"/>
      <c r="E569" s="318"/>
      <c r="F569" s="318"/>
      <c r="G569" s="318"/>
      <c r="H569" s="318"/>
      <c r="I569" s="318"/>
      <c r="J569" s="318"/>
      <c r="K569" s="318"/>
      <c r="L569" s="318"/>
      <c r="M569" s="318"/>
    </row>
    <row r="570" spans="2:13">
      <c r="B570" s="515"/>
      <c r="C570" s="318"/>
      <c r="D570" s="318"/>
      <c r="E570" s="318"/>
      <c r="F570" s="318"/>
      <c r="G570" s="318"/>
      <c r="H570" s="318"/>
      <c r="I570" s="318"/>
      <c r="J570" s="318"/>
      <c r="K570" s="318"/>
      <c r="L570" s="318"/>
      <c r="M570" s="318"/>
    </row>
    <row r="571" spans="2:13">
      <c r="B571" s="515"/>
      <c r="C571" s="318"/>
      <c r="D571" s="318"/>
      <c r="E571" s="318"/>
      <c r="F571" s="318"/>
      <c r="G571" s="318"/>
      <c r="H571" s="318"/>
      <c r="I571" s="318"/>
      <c r="J571" s="318"/>
      <c r="K571" s="318"/>
      <c r="L571" s="318"/>
      <c r="M571" s="318"/>
    </row>
    <row r="572" spans="2:13">
      <c r="B572" s="515"/>
      <c r="C572" s="318"/>
      <c r="D572" s="318"/>
      <c r="E572" s="318"/>
      <c r="F572" s="318"/>
      <c r="G572" s="318"/>
      <c r="H572" s="318"/>
      <c r="I572" s="318"/>
      <c r="J572" s="318"/>
      <c r="K572" s="318"/>
      <c r="L572" s="318"/>
      <c r="M572" s="318"/>
    </row>
    <row r="573" spans="2:13">
      <c r="B573" s="515"/>
      <c r="C573" s="318"/>
      <c r="D573" s="318"/>
      <c r="E573" s="318"/>
      <c r="F573" s="318"/>
      <c r="G573" s="318"/>
      <c r="H573" s="318"/>
      <c r="I573" s="318"/>
      <c r="J573" s="318"/>
      <c r="K573" s="318"/>
      <c r="L573" s="318"/>
      <c r="M573" s="318"/>
    </row>
    <row r="574" spans="2:13">
      <c r="B574" s="515"/>
      <c r="C574" s="318"/>
      <c r="D574" s="318"/>
      <c r="E574" s="318"/>
      <c r="F574" s="318"/>
      <c r="G574" s="318"/>
      <c r="H574" s="318"/>
      <c r="I574" s="318"/>
      <c r="J574" s="318"/>
      <c r="K574" s="318"/>
      <c r="L574" s="318"/>
      <c r="M574" s="318"/>
    </row>
    <row r="575" spans="2:13">
      <c r="B575" s="515"/>
      <c r="C575" s="318"/>
      <c r="D575" s="318"/>
      <c r="E575" s="318"/>
      <c r="F575" s="318"/>
      <c r="G575" s="318"/>
      <c r="H575" s="318"/>
      <c r="I575" s="318"/>
      <c r="J575" s="318"/>
      <c r="K575" s="318"/>
      <c r="L575" s="318"/>
      <c r="M575" s="318"/>
    </row>
    <row r="576" spans="2:13">
      <c r="B576" s="515"/>
      <c r="C576" s="318"/>
      <c r="D576" s="318"/>
      <c r="E576" s="318"/>
      <c r="F576" s="318"/>
      <c r="G576" s="318"/>
      <c r="H576" s="318"/>
      <c r="I576" s="318"/>
      <c r="J576" s="318"/>
      <c r="K576" s="318"/>
      <c r="L576" s="318"/>
      <c r="M576" s="318"/>
    </row>
    <row r="577" spans="2:13">
      <c r="B577" s="515"/>
      <c r="C577" s="318"/>
      <c r="D577" s="318"/>
      <c r="E577" s="318"/>
      <c r="F577" s="318"/>
      <c r="G577" s="318"/>
      <c r="H577" s="318"/>
      <c r="I577" s="318"/>
      <c r="J577" s="318"/>
      <c r="K577" s="318"/>
      <c r="L577" s="318"/>
      <c r="M577" s="318"/>
    </row>
    <row r="578" spans="2:13">
      <c r="B578" s="515"/>
      <c r="C578" s="318"/>
      <c r="D578" s="318"/>
      <c r="E578" s="318"/>
      <c r="F578" s="318"/>
      <c r="G578" s="318"/>
      <c r="H578" s="318"/>
      <c r="I578" s="318"/>
      <c r="J578" s="318"/>
      <c r="K578" s="318"/>
      <c r="L578" s="318"/>
      <c r="M578" s="318"/>
    </row>
    <row r="579" spans="2:13">
      <c r="B579" s="515"/>
      <c r="C579" s="318"/>
      <c r="D579" s="318"/>
      <c r="E579" s="318"/>
      <c r="F579" s="318"/>
      <c r="G579" s="318"/>
      <c r="H579" s="318"/>
      <c r="I579" s="318"/>
      <c r="J579" s="318"/>
      <c r="K579" s="318"/>
      <c r="L579" s="318"/>
      <c r="M579" s="318"/>
    </row>
    <row r="580" spans="2:13">
      <c r="B580" s="515"/>
      <c r="C580" s="318"/>
      <c r="D580" s="318"/>
      <c r="E580" s="318"/>
      <c r="F580" s="318"/>
      <c r="G580" s="318"/>
      <c r="H580" s="318"/>
      <c r="I580" s="318"/>
      <c r="J580" s="318"/>
      <c r="K580" s="318"/>
      <c r="L580" s="318"/>
      <c r="M580" s="318"/>
    </row>
    <row r="581" spans="2:13">
      <c r="B581" s="515"/>
      <c r="C581" s="318"/>
      <c r="D581" s="318"/>
      <c r="E581" s="318"/>
      <c r="F581" s="318"/>
      <c r="G581" s="318"/>
      <c r="H581" s="318"/>
      <c r="I581" s="318"/>
      <c r="J581" s="318"/>
      <c r="K581" s="318"/>
      <c r="L581" s="318"/>
      <c r="M581" s="318"/>
    </row>
    <row r="582" spans="2:13">
      <c r="B582" s="515"/>
      <c r="C582" s="318"/>
      <c r="D582" s="318"/>
      <c r="E582" s="318"/>
      <c r="F582" s="318"/>
      <c r="G582" s="318"/>
      <c r="H582" s="318"/>
      <c r="I582" s="318"/>
      <c r="J582" s="318"/>
      <c r="K582" s="318"/>
      <c r="L582" s="318"/>
      <c r="M582" s="318"/>
    </row>
    <row r="583" spans="2:13">
      <c r="B583" s="515"/>
      <c r="C583" s="318"/>
      <c r="D583" s="318"/>
      <c r="E583" s="318"/>
      <c r="F583" s="318"/>
      <c r="G583" s="318"/>
      <c r="H583" s="318"/>
      <c r="I583" s="318"/>
      <c r="J583" s="318"/>
      <c r="K583" s="318"/>
      <c r="L583" s="318"/>
      <c r="M583" s="318"/>
    </row>
    <row r="584" spans="2:13">
      <c r="B584" s="515"/>
      <c r="C584" s="318"/>
      <c r="D584" s="318"/>
      <c r="E584" s="318"/>
      <c r="F584" s="318"/>
      <c r="G584" s="318"/>
      <c r="H584" s="318"/>
      <c r="I584" s="318"/>
      <c r="J584" s="318"/>
      <c r="K584" s="318"/>
      <c r="L584" s="318"/>
      <c r="M584" s="318"/>
    </row>
    <row r="585" spans="2:13">
      <c r="B585" s="515"/>
      <c r="C585" s="318"/>
      <c r="D585" s="318"/>
      <c r="E585" s="318"/>
      <c r="F585" s="318"/>
      <c r="G585" s="318"/>
      <c r="H585" s="318"/>
      <c r="I585" s="318"/>
      <c r="J585" s="318"/>
      <c r="K585" s="318"/>
      <c r="L585" s="318"/>
      <c r="M585" s="318"/>
    </row>
    <row r="586" spans="2:13">
      <c r="B586" s="515"/>
      <c r="C586" s="318"/>
      <c r="D586" s="318"/>
      <c r="E586" s="318"/>
      <c r="F586" s="318"/>
      <c r="G586" s="318"/>
      <c r="H586" s="318"/>
      <c r="I586" s="318"/>
      <c r="J586" s="318"/>
      <c r="K586" s="318"/>
      <c r="L586" s="318"/>
      <c r="M586" s="318"/>
    </row>
    <row r="587" spans="2:13">
      <c r="B587" s="515"/>
      <c r="C587" s="318"/>
      <c r="D587" s="318"/>
      <c r="E587" s="318"/>
      <c r="F587" s="318"/>
      <c r="G587" s="318"/>
      <c r="H587" s="318"/>
      <c r="I587" s="318"/>
      <c r="J587" s="318"/>
      <c r="K587" s="318"/>
      <c r="L587" s="318"/>
      <c r="M587" s="318"/>
    </row>
    <row r="588" spans="2:13">
      <c r="B588" s="515"/>
      <c r="C588" s="318"/>
      <c r="D588" s="318"/>
      <c r="E588" s="318"/>
      <c r="F588" s="318"/>
      <c r="G588" s="318"/>
      <c r="H588" s="318"/>
      <c r="I588" s="318"/>
      <c r="J588" s="318"/>
      <c r="K588" s="318"/>
      <c r="L588" s="318"/>
      <c r="M588" s="318"/>
    </row>
    <row r="589" spans="2:13">
      <c r="B589" s="515"/>
      <c r="C589" s="318"/>
      <c r="D589" s="318"/>
      <c r="E589" s="318"/>
      <c r="F589" s="318"/>
      <c r="G589" s="318"/>
      <c r="H589" s="318"/>
      <c r="I589" s="318"/>
      <c r="J589" s="318"/>
      <c r="K589" s="318"/>
      <c r="L589" s="318"/>
      <c r="M589" s="318"/>
    </row>
    <row r="590" spans="2:13">
      <c r="B590" s="515"/>
      <c r="C590" s="318"/>
      <c r="D590" s="318"/>
      <c r="E590" s="318"/>
      <c r="F590" s="318"/>
      <c r="G590" s="318"/>
      <c r="H590" s="318"/>
      <c r="I590" s="318"/>
      <c r="J590" s="318"/>
      <c r="K590" s="318"/>
      <c r="L590" s="318"/>
      <c r="M590" s="318"/>
    </row>
    <row r="591" spans="2:13">
      <c r="B591" s="515"/>
      <c r="C591" s="318"/>
      <c r="D591" s="318"/>
      <c r="E591" s="318"/>
      <c r="F591" s="318"/>
      <c r="G591" s="318"/>
      <c r="H591" s="318"/>
      <c r="I591" s="318"/>
      <c r="J591" s="318"/>
      <c r="K591" s="318"/>
      <c r="L591" s="318"/>
      <c r="M591" s="318"/>
    </row>
    <row r="592" spans="2:13">
      <c r="B592" s="515"/>
      <c r="C592" s="318"/>
      <c r="D592" s="318"/>
      <c r="E592" s="318"/>
      <c r="F592" s="318"/>
      <c r="G592" s="318"/>
      <c r="H592" s="318"/>
      <c r="I592" s="318"/>
      <c r="J592" s="318"/>
      <c r="K592" s="318"/>
      <c r="L592" s="318"/>
      <c r="M592" s="318"/>
    </row>
    <row r="593" spans="2:13">
      <c r="B593" s="515"/>
      <c r="C593" s="318"/>
      <c r="D593" s="318"/>
      <c r="E593" s="318"/>
      <c r="F593" s="318"/>
      <c r="G593" s="318"/>
      <c r="H593" s="318"/>
      <c r="I593" s="318"/>
      <c r="J593" s="318"/>
      <c r="K593" s="318"/>
      <c r="L593" s="318"/>
      <c r="M593" s="318"/>
    </row>
    <row r="594" spans="2:13">
      <c r="B594" s="515"/>
      <c r="C594" s="318"/>
      <c r="D594" s="318"/>
      <c r="E594" s="318"/>
      <c r="F594" s="318"/>
      <c r="G594" s="318"/>
      <c r="H594" s="318"/>
      <c r="I594" s="318"/>
      <c r="J594" s="318"/>
      <c r="K594" s="318"/>
      <c r="L594" s="318"/>
      <c r="M594" s="318"/>
    </row>
    <row r="595" spans="2:13">
      <c r="B595" s="515"/>
      <c r="C595" s="318"/>
      <c r="D595" s="318"/>
      <c r="E595" s="318"/>
      <c r="F595" s="318"/>
      <c r="G595" s="318"/>
      <c r="H595" s="318"/>
      <c r="I595" s="318"/>
      <c r="J595" s="318"/>
      <c r="K595" s="318"/>
      <c r="L595" s="318"/>
      <c r="M595" s="318"/>
    </row>
    <row r="596" spans="2:13">
      <c r="B596" s="515"/>
      <c r="C596" s="318"/>
      <c r="D596" s="318"/>
      <c r="E596" s="318"/>
      <c r="F596" s="318"/>
      <c r="G596" s="318"/>
      <c r="H596" s="318"/>
      <c r="I596" s="318"/>
      <c r="J596" s="318"/>
      <c r="K596" s="318"/>
      <c r="L596" s="318"/>
      <c r="M596" s="318"/>
    </row>
    <row r="597" spans="2:13">
      <c r="B597" s="515"/>
      <c r="C597" s="318"/>
      <c r="D597" s="318"/>
      <c r="E597" s="318"/>
      <c r="F597" s="318"/>
      <c r="G597" s="318"/>
      <c r="H597" s="318"/>
      <c r="I597" s="318"/>
      <c r="J597" s="318"/>
      <c r="K597" s="318"/>
      <c r="L597" s="318"/>
      <c r="M597" s="318"/>
    </row>
    <row r="598" spans="2:13">
      <c r="B598" s="515"/>
      <c r="C598" s="318"/>
      <c r="D598" s="318"/>
      <c r="E598" s="318"/>
      <c r="F598" s="318"/>
      <c r="G598" s="318"/>
      <c r="H598" s="318"/>
      <c r="I598" s="318"/>
      <c r="J598" s="318"/>
      <c r="K598" s="318"/>
      <c r="L598" s="318"/>
      <c r="M598" s="318"/>
    </row>
    <row r="599" spans="2:13">
      <c r="B599" s="515"/>
      <c r="C599" s="318"/>
      <c r="D599" s="318"/>
      <c r="E599" s="318"/>
      <c r="F599" s="318"/>
      <c r="G599" s="318"/>
      <c r="H599" s="318"/>
      <c r="I599" s="318"/>
      <c r="J599" s="318"/>
      <c r="K599" s="318"/>
      <c r="L599" s="318"/>
      <c r="M599" s="318"/>
    </row>
    <row r="600" spans="2:13">
      <c r="B600" s="515"/>
      <c r="C600" s="318"/>
      <c r="D600" s="318"/>
      <c r="E600" s="318"/>
      <c r="F600" s="318"/>
      <c r="G600" s="318"/>
      <c r="H600" s="318"/>
      <c r="I600" s="318"/>
      <c r="J600" s="318"/>
      <c r="K600" s="318"/>
      <c r="L600" s="318"/>
      <c r="M600" s="318"/>
    </row>
    <row r="601" spans="2:13">
      <c r="B601" s="515"/>
      <c r="C601" s="318"/>
      <c r="D601" s="318"/>
      <c r="E601" s="318"/>
      <c r="F601" s="318"/>
      <c r="G601" s="318"/>
      <c r="H601" s="318"/>
      <c r="I601" s="318"/>
      <c r="J601" s="318"/>
      <c r="K601" s="318"/>
      <c r="L601" s="318"/>
      <c r="M601" s="318"/>
    </row>
    <row r="602" spans="2:13">
      <c r="B602" s="515"/>
      <c r="C602" s="318"/>
      <c r="D602" s="318"/>
      <c r="E602" s="318"/>
      <c r="F602" s="318"/>
      <c r="G602" s="318"/>
      <c r="H602" s="318"/>
      <c r="I602" s="318"/>
      <c r="J602" s="318"/>
      <c r="K602" s="318"/>
      <c r="L602" s="318"/>
      <c r="M602" s="318"/>
    </row>
    <row r="603" spans="2:13">
      <c r="B603" s="515"/>
      <c r="C603" s="318"/>
      <c r="D603" s="318"/>
      <c r="E603" s="318"/>
      <c r="F603" s="318"/>
      <c r="G603" s="318"/>
      <c r="H603" s="318"/>
      <c r="I603" s="318"/>
      <c r="J603" s="318"/>
      <c r="K603" s="318"/>
      <c r="L603" s="318"/>
      <c r="M603" s="318"/>
    </row>
    <row r="604" spans="2:13">
      <c r="B604" s="515"/>
      <c r="C604" s="318"/>
      <c r="D604" s="318"/>
      <c r="E604" s="318"/>
      <c r="F604" s="318"/>
      <c r="G604" s="318"/>
      <c r="H604" s="318"/>
      <c r="I604" s="318"/>
      <c r="J604" s="318"/>
      <c r="K604" s="318"/>
      <c r="L604" s="318"/>
      <c r="M604" s="318"/>
    </row>
    <row r="605" spans="2:13">
      <c r="B605" s="515"/>
      <c r="C605" s="318"/>
      <c r="D605" s="318"/>
      <c r="E605" s="318"/>
      <c r="F605" s="318"/>
      <c r="G605" s="318"/>
      <c r="H605" s="318"/>
      <c r="I605" s="318"/>
      <c r="J605" s="318"/>
      <c r="K605" s="318"/>
      <c r="L605" s="318"/>
      <c r="M605" s="318"/>
    </row>
    <row r="606" spans="2:13">
      <c r="B606" s="515"/>
      <c r="C606" s="318"/>
      <c r="D606" s="318"/>
      <c r="E606" s="318"/>
      <c r="F606" s="318"/>
      <c r="G606" s="318"/>
      <c r="H606" s="318"/>
      <c r="I606" s="318"/>
      <c r="J606" s="318"/>
      <c r="K606" s="318"/>
      <c r="L606" s="318"/>
      <c r="M606" s="318"/>
    </row>
    <row r="607" spans="2:13">
      <c r="B607" s="515"/>
      <c r="C607" s="318"/>
      <c r="D607" s="318"/>
      <c r="E607" s="318"/>
      <c r="F607" s="318"/>
      <c r="G607" s="318"/>
      <c r="H607" s="318"/>
      <c r="I607" s="318"/>
      <c r="J607" s="318"/>
      <c r="K607" s="318"/>
      <c r="L607" s="318"/>
      <c r="M607" s="318"/>
    </row>
    <row r="608" spans="2:13">
      <c r="B608" s="515"/>
      <c r="C608" s="318"/>
      <c r="D608" s="318"/>
      <c r="E608" s="318"/>
      <c r="F608" s="318"/>
      <c r="G608" s="318"/>
      <c r="H608" s="318"/>
      <c r="I608" s="318"/>
      <c r="J608" s="318"/>
      <c r="K608" s="318"/>
      <c r="L608" s="318"/>
      <c r="M608" s="318"/>
    </row>
    <row r="609" spans="2:13">
      <c r="B609" s="515"/>
      <c r="C609" s="318"/>
      <c r="D609" s="318"/>
      <c r="E609" s="318"/>
      <c r="F609" s="318"/>
      <c r="G609" s="318"/>
      <c r="H609" s="318"/>
      <c r="I609" s="318"/>
      <c r="J609" s="318"/>
      <c r="K609" s="318"/>
      <c r="L609" s="318"/>
      <c r="M609" s="318"/>
    </row>
    <row r="610" spans="2:13">
      <c r="B610" s="515"/>
      <c r="C610" s="318"/>
      <c r="D610" s="318"/>
      <c r="E610" s="318"/>
      <c r="F610" s="318"/>
      <c r="G610" s="318"/>
      <c r="H610" s="318"/>
      <c r="I610" s="318"/>
      <c r="J610" s="318"/>
      <c r="K610" s="318"/>
      <c r="L610" s="318"/>
      <c r="M610" s="318"/>
    </row>
    <row r="611" spans="2:13">
      <c r="B611" s="515"/>
      <c r="C611" s="318"/>
      <c r="D611" s="318"/>
      <c r="E611" s="318"/>
      <c r="F611" s="318"/>
      <c r="G611" s="318"/>
      <c r="H611" s="318"/>
      <c r="I611" s="318"/>
      <c r="J611" s="318"/>
      <c r="K611" s="318"/>
      <c r="L611" s="318"/>
      <c r="M611" s="318"/>
    </row>
    <row r="612" spans="2:13">
      <c r="B612" s="515"/>
      <c r="C612" s="318"/>
      <c r="D612" s="318"/>
      <c r="E612" s="318"/>
      <c r="F612" s="318"/>
      <c r="G612" s="318"/>
      <c r="H612" s="318"/>
      <c r="I612" s="318"/>
      <c r="J612" s="318"/>
      <c r="K612" s="318"/>
      <c r="L612" s="318"/>
      <c r="M612" s="318"/>
    </row>
    <row r="613" spans="2:13">
      <c r="B613" s="515"/>
      <c r="C613" s="318"/>
      <c r="D613" s="318"/>
      <c r="E613" s="318"/>
      <c r="F613" s="318"/>
      <c r="G613" s="318"/>
      <c r="H613" s="318"/>
      <c r="I613" s="318"/>
      <c r="J613" s="318"/>
      <c r="K613" s="318"/>
      <c r="L613" s="318"/>
      <c r="M613" s="318"/>
    </row>
    <row r="614" spans="2:13">
      <c r="B614" s="515"/>
      <c r="C614" s="318"/>
      <c r="D614" s="318"/>
      <c r="E614" s="318"/>
      <c r="F614" s="318"/>
      <c r="G614" s="318"/>
      <c r="H614" s="318"/>
      <c r="I614" s="318"/>
      <c r="J614" s="318"/>
      <c r="K614" s="318"/>
      <c r="L614" s="318"/>
      <c r="M614" s="318"/>
    </row>
    <row r="615" spans="2:13">
      <c r="B615" s="515"/>
      <c r="C615" s="318"/>
      <c r="D615" s="318"/>
      <c r="E615" s="318"/>
      <c r="F615" s="318"/>
      <c r="G615" s="318"/>
      <c r="H615" s="318"/>
      <c r="I615" s="318"/>
      <c r="J615" s="318"/>
      <c r="K615" s="318"/>
      <c r="L615" s="318"/>
      <c r="M615" s="318"/>
    </row>
    <row r="616" spans="2:13">
      <c r="B616" s="515"/>
      <c r="C616" s="318"/>
      <c r="D616" s="318"/>
      <c r="E616" s="318"/>
      <c r="F616" s="318"/>
      <c r="G616" s="318"/>
      <c r="H616" s="318"/>
      <c r="I616" s="318"/>
      <c r="J616" s="318"/>
      <c r="K616" s="318"/>
      <c r="L616" s="318"/>
      <c r="M616" s="318"/>
    </row>
    <row r="617" spans="2:13">
      <c r="B617" s="515"/>
      <c r="C617" s="318"/>
      <c r="D617" s="318"/>
      <c r="E617" s="318"/>
      <c r="F617" s="318"/>
      <c r="G617" s="318"/>
      <c r="H617" s="318"/>
      <c r="I617" s="318"/>
      <c r="J617" s="318"/>
      <c r="K617" s="318"/>
      <c r="L617" s="318"/>
      <c r="M617" s="318"/>
    </row>
    <row r="618" spans="2:13">
      <c r="B618" s="515"/>
      <c r="C618" s="318"/>
      <c r="D618" s="318"/>
      <c r="E618" s="318"/>
      <c r="F618" s="318"/>
      <c r="G618" s="318"/>
      <c r="H618" s="318"/>
      <c r="I618" s="318"/>
      <c r="J618" s="318"/>
      <c r="K618" s="318"/>
      <c r="L618" s="318"/>
      <c r="M618" s="318"/>
    </row>
    <row r="619" spans="2:13">
      <c r="B619" s="515"/>
      <c r="C619" s="318"/>
      <c r="D619" s="318"/>
      <c r="E619" s="318"/>
      <c r="F619" s="318"/>
      <c r="G619" s="318"/>
      <c r="H619" s="318"/>
      <c r="I619" s="318"/>
      <c r="J619" s="318"/>
      <c r="K619" s="318"/>
      <c r="L619" s="318"/>
      <c r="M619" s="318"/>
    </row>
    <row r="620" spans="2:13">
      <c r="B620" s="515"/>
      <c r="C620" s="318"/>
      <c r="D620" s="318"/>
      <c r="E620" s="318"/>
      <c r="F620" s="318"/>
      <c r="G620" s="318"/>
      <c r="H620" s="318"/>
      <c r="I620" s="318"/>
      <c r="J620" s="318"/>
      <c r="K620" s="318"/>
      <c r="L620" s="318"/>
      <c r="M620" s="318"/>
    </row>
    <row r="621" spans="2:13">
      <c r="B621" s="515"/>
      <c r="C621" s="318"/>
      <c r="D621" s="318"/>
      <c r="E621" s="318"/>
      <c r="F621" s="318"/>
      <c r="G621" s="318"/>
      <c r="H621" s="318"/>
      <c r="I621" s="318"/>
      <c r="J621" s="318"/>
      <c r="K621" s="318"/>
      <c r="L621" s="318"/>
      <c r="M621" s="318"/>
    </row>
    <row r="622" spans="2:13">
      <c r="B622" s="515"/>
      <c r="C622" s="318"/>
      <c r="D622" s="318"/>
      <c r="E622" s="318"/>
      <c r="F622" s="318"/>
      <c r="G622" s="318"/>
      <c r="H622" s="318"/>
      <c r="I622" s="318"/>
      <c r="J622" s="318"/>
      <c r="K622" s="318"/>
      <c r="L622" s="318"/>
      <c r="M622" s="318"/>
    </row>
    <row r="623" spans="2:13">
      <c r="B623" s="515"/>
      <c r="C623" s="318"/>
      <c r="D623" s="318"/>
      <c r="E623" s="318"/>
      <c r="F623" s="318"/>
      <c r="G623" s="318"/>
      <c r="H623" s="318"/>
      <c r="I623" s="318"/>
      <c r="J623" s="318"/>
      <c r="K623" s="318"/>
      <c r="L623" s="318"/>
      <c r="M623" s="318"/>
    </row>
    <row r="624" spans="2:13">
      <c r="B624" s="515"/>
      <c r="C624" s="318"/>
      <c r="D624" s="318"/>
      <c r="E624" s="318"/>
      <c r="F624" s="318"/>
      <c r="G624" s="318"/>
      <c r="H624" s="318"/>
      <c r="I624" s="318"/>
      <c r="J624" s="318"/>
      <c r="K624" s="318"/>
      <c r="L624" s="318"/>
      <c r="M624" s="318"/>
    </row>
    <row r="625" spans="2:13">
      <c r="B625" s="515"/>
      <c r="C625" s="318"/>
      <c r="D625" s="318"/>
      <c r="E625" s="318"/>
      <c r="F625" s="318"/>
      <c r="G625" s="318"/>
      <c r="H625" s="318"/>
      <c r="I625" s="318"/>
      <c r="J625" s="318"/>
      <c r="K625" s="318"/>
      <c r="L625" s="318"/>
      <c r="M625" s="318"/>
    </row>
    <row r="626" spans="2:13">
      <c r="B626" s="515"/>
      <c r="C626" s="318"/>
      <c r="D626" s="318"/>
      <c r="E626" s="318"/>
      <c r="F626" s="318"/>
      <c r="G626" s="318"/>
      <c r="H626" s="318"/>
      <c r="I626" s="318"/>
      <c r="J626" s="318"/>
      <c r="K626" s="318"/>
      <c r="L626" s="318"/>
      <c r="M626" s="318"/>
    </row>
    <row r="627" spans="2:13">
      <c r="B627" s="515"/>
      <c r="C627" s="318"/>
      <c r="D627" s="318"/>
      <c r="E627" s="318"/>
      <c r="F627" s="318"/>
      <c r="G627" s="318"/>
      <c r="H627" s="318"/>
      <c r="I627" s="318"/>
      <c r="J627" s="318"/>
      <c r="K627" s="318"/>
      <c r="L627" s="318"/>
      <c r="M627" s="318"/>
    </row>
    <row r="628" spans="2:13">
      <c r="B628" s="515"/>
      <c r="C628" s="318"/>
      <c r="D628" s="318"/>
      <c r="E628" s="318"/>
      <c r="F628" s="318"/>
      <c r="G628" s="318"/>
      <c r="H628" s="318"/>
      <c r="I628" s="318"/>
      <c r="J628" s="318"/>
      <c r="K628" s="318"/>
      <c r="L628" s="318"/>
      <c r="M628" s="318"/>
    </row>
    <row r="629" spans="2:13">
      <c r="B629" s="515"/>
      <c r="C629" s="318"/>
      <c r="D629" s="318"/>
      <c r="E629" s="318"/>
      <c r="F629" s="318"/>
      <c r="G629" s="318"/>
      <c r="H629" s="318"/>
      <c r="I629" s="318"/>
      <c r="J629" s="318"/>
      <c r="K629" s="318"/>
      <c r="L629" s="318"/>
      <c r="M629" s="318"/>
    </row>
    <row r="630" spans="2:13">
      <c r="B630" s="515"/>
      <c r="C630" s="318"/>
      <c r="D630" s="318"/>
      <c r="E630" s="318"/>
      <c r="F630" s="318"/>
      <c r="G630" s="318"/>
      <c r="H630" s="318"/>
      <c r="I630" s="318"/>
      <c r="J630" s="318"/>
      <c r="K630" s="318"/>
      <c r="L630" s="318"/>
      <c r="M630" s="318"/>
    </row>
    <row r="631" spans="2:13">
      <c r="B631" s="515"/>
      <c r="C631" s="318"/>
      <c r="D631" s="318"/>
      <c r="E631" s="318"/>
      <c r="F631" s="318"/>
      <c r="G631" s="318"/>
      <c r="H631" s="318"/>
      <c r="I631" s="318"/>
      <c r="J631" s="318"/>
      <c r="K631" s="318"/>
      <c r="L631" s="318"/>
      <c r="M631" s="318"/>
    </row>
    <row r="632" spans="2:13">
      <c r="B632" s="515"/>
      <c r="C632" s="318"/>
      <c r="D632" s="318"/>
      <c r="E632" s="318"/>
      <c r="F632" s="318"/>
      <c r="G632" s="318"/>
      <c r="H632" s="318"/>
      <c r="I632" s="318"/>
      <c r="J632" s="318"/>
      <c r="K632" s="318"/>
      <c r="L632" s="318"/>
      <c r="M632" s="318"/>
    </row>
    <row r="633" spans="2:13">
      <c r="B633" s="515"/>
      <c r="C633" s="318"/>
      <c r="D633" s="318"/>
      <c r="E633" s="318"/>
      <c r="F633" s="318"/>
      <c r="G633" s="318"/>
      <c r="H633" s="318"/>
      <c r="I633" s="318"/>
      <c r="J633" s="318"/>
      <c r="K633" s="318"/>
      <c r="L633" s="318"/>
      <c r="M633" s="318"/>
    </row>
    <row r="634" spans="2:13">
      <c r="B634" s="515"/>
      <c r="C634" s="318"/>
      <c r="D634" s="318"/>
      <c r="E634" s="318"/>
      <c r="F634" s="318"/>
      <c r="G634" s="318"/>
      <c r="H634" s="318"/>
      <c r="I634" s="318"/>
      <c r="J634" s="318"/>
      <c r="K634" s="318"/>
      <c r="L634" s="318"/>
      <c r="M634" s="318"/>
    </row>
    <row r="635" spans="2:13">
      <c r="B635" s="515"/>
      <c r="C635" s="318"/>
      <c r="D635" s="318"/>
      <c r="E635" s="318"/>
      <c r="F635" s="318"/>
      <c r="G635" s="318"/>
      <c r="H635" s="318"/>
      <c r="I635" s="318"/>
      <c r="J635" s="318"/>
      <c r="K635" s="318"/>
      <c r="L635" s="318"/>
      <c r="M635" s="318"/>
    </row>
    <row r="636" spans="2:13">
      <c r="B636" s="515"/>
      <c r="C636" s="318"/>
      <c r="D636" s="318"/>
      <c r="E636" s="318"/>
      <c r="F636" s="318"/>
      <c r="G636" s="318"/>
      <c r="H636" s="318"/>
      <c r="I636" s="318"/>
      <c r="J636" s="318"/>
      <c r="K636" s="318"/>
      <c r="L636" s="318"/>
      <c r="M636" s="318"/>
    </row>
    <row r="637" spans="2:13">
      <c r="B637" s="515"/>
      <c r="C637" s="318"/>
      <c r="D637" s="318"/>
      <c r="E637" s="318"/>
      <c r="F637" s="318"/>
      <c r="G637" s="318"/>
      <c r="H637" s="318"/>
      <c r="I637" s="318"/>
      <c r="J637" s="318"/>
      <c r="K637" s="318"/>
      <c r="L637" s="318"/>
      <c r="M637" s="318"/>
    </row>
    <row r="638" spans="2:13">
      <c r="B638" s="515"/>
      <c r="C638" s="318"/>
      <c r="D638" s="318"/>
      <c r="E638" s="318"/>
      <c r="F638" s="318"/>
      <c r="G638" s="318"/>
      <c r="H638" s="318"/>
      <c r="I638" s="318"/>
      <c r="J638" s="318"/>
      <c r="K638" s="318"/>
      <c r="L638" s="318"/>
      <c r="M638" s="318"/>
    </row>
    <row r="639" spans="2:13">
      <c r="B639" s="515"/>
      <c r="C639" s="318"/>
      <c r="D639" s="318"/>
      <c r="E639" s="318"/>
      <c r="F639" s="318"/>
      <c r="G639" s="318"/>
      <c r="H639" s="318"/>
      <c r="I639" s="318"/>
      <c r="J639" s="318"/>
      <c r="K639" s="318"/>
      <c r="L639" s="318"/>
      <c r="M639" s="318"/>
    </row>
    <row r="640" spans="2:13">
      <c r="B640" s="515"/>
      <c r="C640" s="318"/>
      <c r="D640" s="318"/>
      <c r="E640" s="318"/>
      <c r="F640" s="318"/>
      <c r="G640" s="318"/>
      <c r="H640" s="318"/>
      <c r="I640" s="318"/>
      <c r="J640" s="318"/>
      <c r="K640" s="318"/>
      <c r="L640" s="318"/>
      <c r="M640" s="318"/>
    </row>
    <row r="641" spans="2:13">
      <c r="B641" s="515"/>
      <c r="C641" s="318"/>
      <c r="D641" s="318"/>
      <c r="E641" s="318"/>
      <c r="F641" s="318"/>
      <c r="G641" s="318"/>
      <c r="H641" s="318"/>
      <c r="I641" s="318"/>
      <c r="J641" s="318"/>
      <c r="K641" s="318"/>
      <c r="L641" s="318"/>
      <c r="M641" s="318"/>
    </row>
    <row r="642" spans="2:13">
      <c r="B642" s="515"/>
      <c r="C642" s="318"/>
      <c r="D642" s="318"/>
      <c r="E642" s="318"/>
      <c r="F642" s="318"/>
      <c r="G642" s="318"/>
      <c r="H642" s="318"/>
      <c r="I642" s="318"/>
      <c r="J642" s="318"/>
      <c r="K642" s="318"/>
      <c r="L642" s="318"/>
      <c r="M642" s="318"/>
    </row>
    <row r="643" spans="2:13">
      <c r="B643" s="515"/>
      <c r="C643" s="318"/>
      <c r="D643" s="318"/>
      <c r="E643" s="318"/>
      <c r="F643" s="318"/>
      <c r="G643" s="318"/>
      <c r="H643" s="318"/>
      <c r="I643" s="318"/>
      <c r="J643" s="318"/>
      <c r="K643" s="318"/>
      <c r="L643" s="318"/>
      <c r="M643" s="318"/>
    </row>
    <row r="644" spans="2:13">
      <c r="B644" s="515"/>
      <c r="C644" s="318"/>
      <c r="D644" s="318"/>
      <c r="E644" s="318"/>
      <c r="F644" s="318"/>
      <c r="G644" s="318"/>
      <c r="H644" s="318"/>
      <c r="I644" s="318"/>
      <c r="J644" s="318"/>
      <c r="K644" s="318"/>
      <c r="L644" s="318"/>
      <c r="M644" s="318"/>
    </row>
    <row r="645" spans="2:13">
      <c r="B645" s="515"/>
      <c r="C645" s="318"/>
      <c r="D645" s="318"/>
      <c r="E645" s="318"/>
      <c r="F645" s="318"/>
      <c r="G645" s="318"/>
      <c r="H645" s="318"/>
      <c r="I645" s="318"/>
      <c r="J645" s="318"/>
      <c r="K645" s="318"/>
      <c r="L645" s="318"/>
      <c r="M645" s="318"/>
    </row>
    <row r="646" spans="2:13">
      <c r="B646" s="515"/>
      <c r="C646" s="318"/>
      <c r="D646" s="318"/>
      <c r="E646" s="318"/>
      <c r="F646" s="318"/>
      <c r="G646" s="318"/>
      <c r="H646" s="318"/>
      <c r="I646" s="318"/>
      <c r="J646" s="318"/>
      <c r="K646" s="318"/>
      <c r="L646" s="318"/>
      <c r="M646" s="318"/>
    </row>
    <row r="647" spans="2:13">
      <c r="B647" s="515"/>
      <c r="C647" s="318"/>
      <c r="D647" s="318"/>
      <c r="E647" s="318"/>
      <c r="F647" s="318"/>
      <c r="G647" s="318"/>
      <c r="H647" s="318"/>
      <c r="I647" s="318"/>
      <c r="J647" s="318"/>
      <c r="K647" s="318"/>
      <c r="L647" s="318"/>
      <c r="M647" s="318"/>
    </row>
    <row r="648" spans="2:13">
      <c r="B648" s="515"/>
      <c r="C648" s="318"/>
      <c r="D648" s="318"/>
      <c r="E648" s="318"/>
      <c r="F648" s="318"/>
      <c r="G648" s="318"/>
      <c r="H648" s="318"/>
      <c r="I648" s="318"/>
      <c r="J648" s="318"/>
      <c r="K648" s="318"/>
      <c r="L648" s="318"/>
      <c r="M648" s="318"/>
    </row>
    <row r="649" spans="2:13">
      <c r="B649" s="515"/>
      <c r="C649" s="318"/>
      <c r="D649" s="318"/>
      <c r="E649" s="318"/>
      <c r="F649" s="318"/>
      <c r="G649" s="318"/>
      <c r="H649" s="318"/>
      <c r="I649" s="318"/>
      <c r="J649" s="318"/>
      <c r="K649" s="318"/>
      <c r="L649" s="318"/>
      <c r="M649" s="318"/>
    </row>
    <row r="650" spans="2:13">
      <c r="B650" s="515"/>
      <c r="C650" s="318"/>
      <c r="D650" s="318"/>
      <c r="E650" s="318"/>
      <c r="F650" s="318"/>
      <c r="G650" s="318"/>
      <c r="H650" s="318"/>
      <c r="I650" s="318"/>
      <c r="J650" s="318"/>
      <c r="K650" s="318"/>
      <c r="L650" s="318"/>
      <c r="M650" s="318"/>
    </row>
    <row r="651" spans="2:13">
      <c r="B651" s="515"/>
      <c r="C651" s="318"/>
      <c r="D651" s="318"/>
      <c r="E651" s="318"/>
      <c r="F651" s="318"/>
      <c r="G651" s="318"/>
      <c r="H651" s="318"/>
      <c r="I651" s="318"/>
      <c r="J651" s="318"/>
      <c r="K651" s="318"/>
      <c r="L651" s="318"/>
      <c r="M651" s="318"/>
    </row>
    <row r="652" spans="2:13">
      <c r="B652" s="515"/>
      <c r="C652" s="318"/>
      <c r="D652" s="318"/>
      <c r="E652" s="318"/>
      <c r="F652" s="318"/>
      <c r="G652" s="318"/>
      <c r="H652" s="318"/>
      <c r="I652" s="318"/>
      <c r="J652" s="318"/>
      <c r="K652" s="318"/>
      <c r="L652" s="318"/>
      <c r="M652" s="318"/>
    </row>
    <row r="653" spans="2:13">
      <c r="B653" s="515"/>
      <c r="C653" s="318"/>
      <c r="D653" s="318"/>
      <c r="E653" s="318"/>
      <c r="F653" s="318"/>
      <c r="G653" s="318"/>
      <c r="H653" s="318"/>
      <c r="I653" s="318"/>
      <c r="J653" s="318"/>
      <c r="K653" s="318"/>
      <c r="L653" s="318"/>
      <c r="M653" s="318"/>
    </row>
    <row r="654" spans="2:13">
      <c r="B654" s="515"/>
      <c r="C654" s="318"/>
      <c r="D654" s="318"/>
      <c r="E654" s="318"/>
      <c r="F654" s="318"/>
      <c r="G654" s="318"/>
      <c r="H654" s="318"/>
      <c r="I654" s="318"/>
      <c r="J654" s="318"/>
      <c r="K654" s="318"/>
      <c r="L654" s="318"/>
      <c r="M654" s="318"/>
    </row>
    <row r="655" spans="2:13">
      <c r="B655" s="515"/>
      <c r="C655" s="318"/>
      <c r="D655" s="318"/>
      <c r="E655" s="318"/>
      <c r="F655" s="318"/>
      <c r="G655" s="318"/>
      <c r="H655" s="318"/>
      <c r="I655" s="318"/>
      <c r="J655" s="318"/>
      <c r="K655" s="318"/>
      <c r="L655" s="318"/>
      <c r="M655" s="318"/>
    </row>
    <row r="656" spans="2:13">
      <c r="B656" s="515"/>
      <c r="C656" s="318"/>
      <c r="D656" s="318"/>
      <c r="E656" s="318"/>
      <c r="F656" s="318"/>
      <c r="G656" s="318"/>
      <c r="H656" s="318"/>
      <c r="I656" s="318"/>
      <c r="J656" s="318"/>
      <c r="K656" s="318"/>
      <c r="L656" s="318"/>
      <c r="M656" s="318"/>
    </row>
    <row r="657" spans="2:13">
      <c r="B657" s="515"/>
      <c r="C657" s="318"/>
      <c r="D657" s="318"/>
      <c r="E657" s="318"/>
      <c r="F657" s="318"/>
      <c r="G657" s="318"/>
      <c r="H657" s="318"/>
      <c r="I657" s="318"/>
      <c r="J657" s="318"/>
      <c r="K657" s="318"/>
      <c r="L657" s="318"/>
      <c r="M657" s="318"/>
    </row>
    <row r="658" spans="2:13">
      <c r="B658" s="515"/>
      <c r="C658" s="318"/>
      <c r="D658" s="318"/>
      <c r="E658" s="318"/>
      <c r="F658" s="318"/>
      <c r="G658" s="318"/>
      <c r="H658" s="318"/>
      <c r="I658" s="318"/>
      <c r="J658" s="318"/>
      <c r="K658" s="318"/>
      <c r="L658" s="318"/>
      <c r="M658" s="318"/>
    </row>
    <row r="659" spans="2:13">
      <c r="B659" s="515"/>
      <c r="C659" s="318"/>
      <c r="D659" s="318"/>
      <c r="E659" s="318"/>
      <c r="F659" s="318"/>
      <c r="G659" s="318"/>
      <c r="H659" s="318"/>
      <c r="I659" s="318"/>
      <c r="J659" s="318"/>
      <c r="K659" s="318"/>
      <c r="L659" s="318"/>
      <c r="M659" s="318"/>
    </row>
    <row r="660" spans="2:13">
      <c r="B660" s="515"/>
      <c r="C660" s="318"/>
      <c r="D660" s="318"/>
      <c r="E660" s="318"/>
      <c r="F660" s="318"/>
      <c r="G660" s="318"/>
      <c r="H660" s="318"/>
      <c r="I660" s="318"/>
      <c r="J660" s="318"/>
      <c r="K660" s="318"/>
      <c r="L660" s="318"/>
      <c r="M660" s="318"/>
    </row>
    <row r="661" spans="2:13">
      <c r="B661" s="515"/>
      <c r="C661" s="318"/>
      <c r="D661" s="318"/>
      <c r="E661" s="318"/>
      <c r="F661" s="318"/>
      <c r="G661" s="318"/>
      <c r="H661" s="318"/>
      <c r="I661" s="318"/>
      <c r="J661" s="318"/>
      <c r="K661" s="318"/>
      <c r="L661" s="318"/>
      <c r="M661" s="318"/>
    </row>
    <row r="662" spans="2:13">
      <c r="B662" s="515"/>
      <c r="C662" s="318"/>
      <c r="D662" s="318"/>
      <c r="E662" s="318"/>
      <c r="F662" s="318"/>
      <c r="G662" s="318"/>
      <c r="H662" s="318"/>
      <c r="I662" s="318"/>
      <c r="J662" s="318"/>
      <c r="K662" s="318"/>
      <c r="L662" s="318"/>
      <c r="M662" s="318"/>
    </row>
    <row r="663" spans="2:13">
      <c r="B663" s="515"/>
      <c r="C663" s="318"/>
      <c r="D663" s="318"/>
      <c r="E663" s="318"/>
      <c r="F663" s="318"/>
      <c r="G663" s="318"/>
      <c r="H663" s="318"/>
      <c r="I663" s="318"/>
      <c r="J663" s="318"/>
      <c r="K663" s="318"/>
      <c r="L663" s="318"/>
      <c r="M663" s="318"/>
    </row>
    <row r="664" spans="2:13">
      <c r="B664" s="515"/>
      <c r="C664" s="318"/>
      <c r="D664" s="318"/>
      <c r="E664" s="318"/>
      <c r="F664" s="318"/>
      <c r="G664" s="318"/>
      <c r="H664" s="318"/>
      <c r="I664" s="318"/>
      <c r="J664" s="318"/>
      <c r="K664" s="318"/>
      <c r="L664" s="318"/>
      <c r="M664" s="318"/>
    </row>
    <row r="665" spans="2:13">
      <c r="B665" s="515"/>
      <c r="C665" s="318"/>
      <c r="D665" s="318"/>
      <c r="E665" s="318"/>
      <c r="F665" s="318"/>
      <c r="G665" s="318"/>
      <c r="H665" s="318"/>
      <c r="I665" s="318"/>
      <c r="J665" s="318"/>
      <c r="K665" s="318"/>
      <c r="L665" s="318"/>
      <c r="M665" s="318"/>
    </row>
    <row r="666" spans="2:13">
      <c r="B666" s="515"/>
      <c r="C666" s="318"/>
      <c r="D666" s="318"/>
      <c r="E666" s="318"/>
      <c r="F666" s="318"/>
      <c r="G666" s="318"/>
      <c r="H666" s="318"/>
      <c r="I666" s="318"/>
      <c r="J666" s="318"/>
      <c r="K666" s="318"/>
      <c r="L666" s="318"/>
      <c r="M666" s="318"/>
    </row>
    <row r="667" spans="2:13">
      <c r="B667" s="515"/>
      <c r="C667" s="318"/>
      <c r="D667" s="318"/>
      <c r="E667" s="318"/>
      <c r="F667" s="318"/>
      <c r="G667" s="318"/>
      <c r="H667" s="318"/>
      <c r="I667" s="318"/>
      <c r="J667" s="318"/>
      <c r="K667" s="318"/>
      <c r="L667" s="318"/>
      <c r="M667" s="318"/>
    </row>
    <row r="668" spans="2:13">
      <c r="B668" s="515"/>
      <c r="C668" s="318"/>
      <c r="D668" s="318"/>
      <c r="E668" s="318"/>
      <c r="F668" s="318"/>
      <c r="G668" s="318"/>
      <c r="H668" s="318"/>
      <c r="I668" s="318"/>
      <c r="J668" s="318"/>
      <c r="K668" s="318"/>
      <c r="L668" s="318"/>
      <c r="M668" s="318"/>
    </row>
    <row r="669" spans="2:13">
      <c r="B669" s="515"/>
      <c r="C669" s="318"/>
      <c r="D669" s="318"/>
      <c r="E669" s="318"/>
      <c r="F669" s="318"/>
      <c r="G669" s="318"/>
      <c r="H669" s="318"/>
      <c r="I669" s="318"/>
      <c r="J669" s="318"/>
      <c r="K669" s="318"/>
      <c r="L669" s="318"/>
      <c r="M669" s="318"/>
    </row>
    <row r="670" spans="2:13">
      <c r="B670" s="515"/>
      <c r="C670" s="318"/>
      <c r="D670" s="318"/>
      <c r="E670" s="318"/>
      <c r="F670" s="318"/>
      <c r="G670" s="318"/>
      <c r="H670" s="318"/>
      <c r="I670" s="318"/>
      <c r="J670" s="318"/>
      <c r="K670" s="318"/>
      <c r="L670" s="318"/>
      <c r="M670" s="318"/>
    </row>
    <row r="671" spans="2:13">
      <c r="B671" s="515"/>
      <c r="C671" s="318"/>
      <c r="D671" s="318"/>
      <c r="E671" s="318"/>
      <c r="F671" s="318"/>
      <c r="G671" s="318"/>
      <c r="H671" s="318"/>
      <c r="I671" s="318"/>
      <c r="J671" s="318"/>
      <c r="K671" s="318"/>
      <c r="L671" s="318"/>
      <c r="M671" s="318"/>
    </row>
    <row r="672" spans="2:13">
      <c r="B672" s="515"/>
      <c r="C672" s="318"/>
      <c r="D672" s="318"/>
      <c r="E672" s="318"/>
      <c r="F672" s="318"/>
      <c r="G672" s="318"/>
      <c r="H672" s="318"/>
      <c r="I672" s="318"/>
      <c r="J672" s="318"/>
      <c r="K672" s="318"/>
      <c r="L672" s="318"/>
      <c r="M672" s="318"/>
    </row>
    <row r="673" spans="2:13">
      <c r="B673" s="515"/>
      <c r="C673" s="318"/>
      <c r="D673" s="318"/>
      <c r="E673" s="318"/>
      <c r="F673" s="318"/>
      <c r="G673" s="318"/>
      <c r="H673" s="318"/>
      <c r="I673" s="318"/>
      <c r="J673" s="318"/>
      <c r="K673" s="318"/>
      <c r="L673" s="318"/>
      <c r="M673" s="318"/>
    </row>
    <row r="674" spans="2:13">
      <c r="B674" s="515"/>
      <c r="C674" s="318"/>
      <c r="D674" s="318"/>
      <c r="E674" s="318"/>
      <c r="F674" s="318"/>
      <c r="G674" s="318"/>
      <c r="H674" s="318"/>
      <c r="I674" s="318"/>
      <c r="J674" s="318"/>
      <c r="K674" s="318"/>
      <c r="L674" s="318"/>
      <c r="M674" s="318"/>
    </row>
    <row r="675" spans="2:13">
      <c r="B675" s="515"/>
      <c r="C675" s="318"/>
      <c r="D675" s="318"/>
      <c r="E675" s="318"/>
      <c r="F675" s="318"/>
      <c r="G675" s="318"/>
      <c r="H675" s="318"/>
      <c r="I675" s="318"/>
      <c r="J675" s="318"/>
      <c r="K675" s="318"/>
      <c r="L675" s="318"/>
      <c r="M675" s="318"/>
    </row>
    <row r="676" spans="2:13">
      <c r="B676" s="515"/>
      <c r="C676" s="318"/>
      <c r="D676" s="318"/>
      <c r="E676" s="318"/>
      <c r="F676" s="318"/>
      <c r="G676" s="318"/>
      <c r="H676" s="318"/>
      <c r="I676" s="318"/>
      <c r="J676" s="318"/>
      <c r="K676" s="318"/>
      <c r="L676" s="318"/>
      <c r="M676" s="318"/>
    </row>
    <row r="677" spans="2:13">
      <c r="B677" s="515"/>
      <c r="C677" s="318"/>
      <c r="D677" s="318"/>
      <c r="E677" s="318"/>
      <c r="F677" s="318"/>
      <c r="G677" s="318"/>
      <c r="H677" s="318"/>
      <c r="I677" s="318"/>
      <c r="J677" s="318"/>
      <c r="K677" s="318"/>
      <c r="L677" s="318"/>
      <c r="M677" s="318"/>
    </row>
    <row r="678" spans="2:13">
      <c r="B678" s="515"/>
      <c r="C678" s="318"/>
      <c r="D678" s="318"/>
      <c r="E678" s="318"/>
      <c r="F678" s="318"/>
      <c r="G678" s="318"/>
      <c r="H678" s="318"/>
      <c r="I678" s="318"/>
      <c r="J678" s="318"/>
      <c r="K678" s="318"/>
      <c r="L678" s="318"/>
      <c r="M678" s="318"/>
    </row>
    <row r="679" spans="2:13">
      <c r="B679" s="515"/>
      <c r="C679" s="318"/>
      <c r="D679" s="318"/>
      <c r="E679" s="318"/>
      <c r="F679" s="318"/>
      <c r="G679" s="318"/>
      <c r="H679" s="318"/>
      <c r="I679" s="318"/>
      <c r="J679" s="318"/>
      <c r="K679" s="318"/>
      <c r="L679" s="318"/>
      <c r="M679" s="318"/>
    </row>
    <row r="680" spans="2:13">
      <c r="B680" s="515"/>
      <c r="C680" s="318"/>
      <c r="D680" s="318"/>
      <c r="E680" s="318"/>
      <c r="F680" s="318"/>
      <c r="G680" s="318"/>
      <c r="H680" s="318"/>
      <c r="I680" s="318"/>
      <c r="J680" s="318"/>
      <c r="K680" s="318"/>
      <c r="L680" s="318"/>
      <c r="M680" s="318"/>
    </row>
    <row r="681" spans="2:13">
      <c r="B681" s="515"/>
      <c r="C681" s="318"/>
      <c r="D681" s="318"/>
      <c r="E681" s="318"/>
      <c r="F681" s="318"/>
      <c r="G681" s="318"/>
      <c r="H681" s="318"/>
      <c r="I681" s="318"/>
      <c r="J681" s="318"/>
      <c r="K681" s="318"/>
      <c r="L681" s="318"/>
      <c r="M681" s="318"/>
    </row>
    <row r="682" spans="2:13">
      <c r="B682" s="515"/>
      <c r="C682" s="318"/>
      <c r="D682" s="318"/>
      <c r="E682" s="318"/>
      <c r="F682" s="318"/>
      <c r="G682" s="318"/>
      <c r="H682" s="318"/>
      <c r="I682" s="318"/>
      <c r="J682" s="318"/>
      <c r="K682" s="318"/>
      <c r="L682" s="318"/>
      <c r="M682" s="318"/>
    </row>
    <row r="683" spans="2:13">
      <c r="B683" s="515"/>
      <c r="C683" s="318"/>
      <c r="D683" s="318"/>
      <c r="E683" s="318"/>
      <c r="F683" s="318"/>
      <c r="G683" s="318"/>
      <c r="H683" s="318"/>
      <c r="I683" s="318"/>
      <c r="J683" s="318"/>
      <c r="K683" s="318"/>
      <c r="L683" s="318"/>
      <c r="M683" s="318"/>
    </row>
    <row r="684" spans="2:13">
      <c r="B684" s="515"/>
      <c r="C684" s="318"/>
      <c r="D684" s="318"/>
      <c r="E684" s="318"/>
      <c r="F684" s="318"/>
      <c r="G684" s="318"/>
      <c r="H684" s="318"/>
      <c r="I684" s="318"/>
      <c r="J684" s="318"/>
      <c r="K684" s="318"/>
      <c r="L684" s="318"/>
      <c r="M684" s="318"/>
    </row>
    <row r="685" spans="2:13">
      <c r="B685" s="515"/>
      <c r="C685" s="318"/>
      <c r="D685" s="318"/>
      <c r="E685" s="318"/>
      <c r="F685" s="318"/>
      <c r="G685" s="318"/>
      <c r="H685" s="318"/>
      <c r="I685" s="318"/>
      <c r="J685" s="318"/>
      <c r="K685" s="318"/>
      <c r="L685" s="318"/>
      <c r="M685" s="318"/>
    </row>
    <row r="686" spans="2:13">
      <c r="B686" s="515"/>
      <c r="C686" s="318"/>
      <c r="D686" s="318"/>
      <c r="E686" s="318"/>
      <c r="F686" s="318"/>
      <c r="G686" s="318"/>
      <c r="H686" s="318"/>
      <c r="I686" s="318"/>
      <c r="J686" s="318"/>
      <c r="K686" s="318"/>
      <c r="L686" s="318"/>
      <c r="M686" s="318"/>
    </row>
    <row r="687" spans="2:13">
      <c r="B687" s="515"/>
      <c r="C687" s="318"/>
      <c r="D687" s="318"/>
      <c r="E687" s="318"/>
      <c r="F687" s="318"/>
      <c r="G687" s="318"/>
      <c r="H687" s="318"/>
      <c r="I687" s="318"/>
      <c r="J687" s="318"/>
      <c r="K687" s="318"/>
      <c r="L687" s="318"/>
      <c r="M687" s="318"/>
    </row>
    <row r="688" spans="2:13">
      <c r="B688" s="515"/>
      <c r="C688" s="318"/>
      <c r="D688" s="318"/>
      <c r="E688" s="318"/>
      <c r="F688" s="318"/>
      <c r="G688" s="318"/>
      <c r="H688" s="318"/>
      <c r="I688" s="318"/>
      <c r="J688" s="318"/>
      <c r="K688" s="318"/>
      <c r="L688" s="318"/>
      <c r="M688" s="318"/>
    </row>
    <row r="689" spans="2:13">
      <c r="B689" s="515"/>
      <c r="C689" s="318"/>
      <c r="D689" s="318"/>
      <c r="E689" s="318"/>
      <c r="F689" s="318"/>
      <c r="G689" s="318"/>
      <c r="H689" s="318"/>
      <c r="I689" s="318"/>
      <c r="J689" s="318"/>
      <c r="K689" s="318"/>
      <c r="L689" s="318"/>
      <c r="M689" s="318"/>
    </row>
    <row r="690" spans="2:13">
      <c r="B690" s="515"/>
      <c r="C690" s="318"/>
      <c r="D690" s="318"/>
      <c r="E690" s="318"/>
      <c r="F690" s="318"/>
      <c r="G690" s="318"/>
      <c r="H690" s="318"/>
      <c r="I690" s="318"/>
      <c r="J690" s="318"/>
      <c r="K690" s="318"/>
      <c r="L690" s="318"/>
      <c r="M690" s="318"/>
    </row>
    <row r="691" spans="2:13">
      <c r="B691" s="515"/>
      <c r="C691" s="318"/>
      <c r="D691" s="318"/>
      <c r="E691" s="318"/>
      <c r="F691" s="318"/>
      <c r="G691" s="318"/>
      <c r="H691" s="318"/>
      <c r="I691" s="318"/>
      <c r="J691" s="318"/>
      <c r="K691" s="318"/>
      <c r="L691" s="318"/>
      <c r="M691" s="318"/>
    </row>
    <row r="692" spans="2:13">
      <c r="B692" s="515"/>
      <c r="C692" s="318"/>
      <c r="D692" s="318"/>
      <c r="E692" s="318"/>
      <c r="F692" s="318"/>
      <c r="G692" s="318"/>
      <c r="H692" s="318"/>
      <c r="I692" s="318"/>
      <c r="J692" s="318"/>
      <c r="K692" s="318"/>
      <c r="L692" s="318"/>
      <c r="M692" s="318"/>
    </row>
    <row r="693" spans="2:13">
      <c r="B693" s="515"/>
      <c r="C693" s="318"/>
      <c r="D693" s="318"/>
      <c r="E693" s="318"/>
      <c r="F693" s="318"/>
      <c r="G693" s="318"/>
      <c r="H693" s="318"/>
      <c r="I693" s="318"/>
      <c r="J693" s="318"/>
      <c r="K693" s="318"/>
      <c r="L693" s="318"/>
      <c r="M693" s="318"/>
    </row>
    <row r="694" spans="2:13">
      <c r="B694" s="515"/>
      <c r="C694" s="318"/>
      <c r="D694" s="318"/>
      <c r="E694" s="318"/>
      <c r="F694" s="318"/>
      <c r="G694" s="318"/>
      <c r="H694" s="318"/>
      <c r="I694" s="318"/>
      <c r="J694" s="318"/>
      <c r="K694" s="318"/>
      <c r="L694" s="318"/>
      <c r="M694" s="318"/>
    </row>
    <row r="695" spans="2:13">
      <c r="B695" s="515"/>
      <c r="C695" s="318"/>
      <c r="D695" s="318"/>
      <c r="E695" s="318"/>
      <c r="F695" s="318"/>
      <c r="G695" s="318"/>
      <c r="H695" s="318"/>
      <c r="I695" s="318"/>
      <c r="J695" s="318"/>
      <c r="K695" s="318"/>
      <c r="L695" s="318"/>
      <c r="M695" s="318"/>
    </row>
    <row r="696" spans="2:13">
      <c r="B696" s="515"/>
      <c r="C696" s="318"/>
      <c r="D696" s="318"/>
      <c r="E696" s="318"/>
      <c r="F696" s="318"/>
      <c r="G696" s="318"/>
      <c r="H696" s="318"/>
      <c r="I696" s="318"/>
      <c r="J696" s="318"/>
      <c r="K696" s="318"/>
      <c r="L696" s="318"/>
      <c r="M696" s="318"/>
    </row>
    <row r="697" spans="2:13">
      <c r="B697" s="515"/>
      <c r="C697" s="318"/>
      <c r="D697" s="318"/>
      <c r="E697" s="318"/>
      <c r="F697" s="318"/>
      <c r="G697" s="318"/>
      <c r="H697" s="318"/>
      <c r="I697" s="318"/>
      <c r="J697" s="318"/>
      <c r="K697" s="318"/>
      <c r="L697" s="318"/>
      <c r="M697" s="318"/>
    </row>
    <row r="698" spans="2:13">
      <c r="B698" s="515"/>
      <c r="C698" s="318"/>
      <c r="D698" s="318"/>
      <c r="E698" s="318"/>
      <c r="F698" s="318"/>
      <c r="G698" s="318"/>
      <c r="H698" s="318"/>
      <c r="I698" s="318"/>
      <c r="J698" s="318"/>
      <c r="K698" s="318"/>
      <c r="L698" s="318"/>
      <c r="M698" s="318"/>
    </row>
    <row r="699" spans="2:13">
      <c r="B699" s="515"/>
      <c r="C699" s="318"/>
      <c r="D699" s="318"/>
      <c r="E699" s="318"/>
      <c r="F699" s="318"/>
      <c r="G699" s="318"/>
      <c r="H699" s="318"/>
      <c r="I699" s="318"/>
      <c r="J699" s="318"/>
      <c r="K699" s="318"/>
      <c r="L699" s="318"/>
      <c r="M699" s="318"/>
    </row>
    <row r="700" spans="2:13">
      <c r="B700" s="515"/>
      <c r="C700" s="318"/>
      <c r="D700" s="318"/>
      <c r="E700" s="318"/>
      <c r="F700" s="318"/>
      <c r="G700" s="318"/>
      <c r="H700" s="318"/>
      <c r="I700" s="318"/>
      <c r="J700" s="318"/>
      <c r="K700" s="318"/>
      <c r="L700" s="318"/>
      <c r="M700" s="318"/>
    </row>
    <row r="701" spans="2:13">
      <c r="B701" s="515"/>
      <c r="C701" s="318"/>
      <c r="D701" s="318"/>
      <c r="E701" s="318"/>
      <c r="F701" s="318"/>
      <c r="G701" s="318"/>
      <c r="H701" s="318"/>
      <c r="I701" s="318"/>
      <c r="J701" s="318"/>
      <c r="K701" s="318"/>
      <c r="L701" s="318"/>
      <c r="M701" s="318"/>
    </row>
    <row r="702" spans="2:13">
      <c r="B702" s="515"/>
      <c r="C702" s="318"/>
      <c r="D702" s="318"/>
      <c r="E702" s="318"/>
      <c r="F702" s="318"/>
      <c r="G702" s="318"/>
      <c r="H702" s="318"/>
      <c r="I702" s="318"/>
      <c r="J702" s="318"/>
      <c r="K702" s="318"/>
      <c r="L702" s="318"/>
      <c r="M702" s="318"/>
    </row>
    <row r="703" spans="2:13">
      <c r="B703" s="515"/>
      <c r="C703" s="318"/>
      <c r="D703" s="318"/>
      <c r="E703" s="318"/>
      <c r="F703" s="318"/>
      <c r="G703" s="318"/>
      <c r="H703" s="318"/>
      <c r="I703" s="318"/>
      <c r="J703" s="318"/>
      <c r="K703" s="318"/>
      <c r="L703" s="318"/>
      <c r="M703" s="318"/>
    </row>
    <row r="704" spans="2:13">
      <c r="B704" s="515"/>
      <c r="C704" s="318"/>
      <c r="D704" s="318"/>
      <c r="E704" s="318"/>
      <c r="F704" s="318"/>
      <c r="G704" s="318"/>
      <c r="H704" s="318"/>
      <c r="I704" s="318"/>
      <c r="J704" s="318"/>
      <c r="K704" s="318"/>
      <c r="L704" s="318"/>
      <c r="M704" s="318"/>
    </row>
    <row r="705" spans="2:13">
      <c r="B705" s="515"/>
      <c r="C705" s="318"/>
      <c r="D705" s="318"/>
      <c r="E705" s="318"/>
      <c r="F705" s="318"/>
      <c r="G705" s="318"/>
      <c r="H705" s="318"/>
      <c r="I705" s="318"/>
      <c r="J705" s="318"/>
      <c r="K705" s="318"/>
      <c r="L705" s="318"/>
      <c r="M705" s="318"/>
    </row>
    <row r="706" spans="2:13">
      <c r="B706" s="515"/>
      <c r="C706" s="318"/>
      <c r="D706" s="318"/>
      <c r="E706" s="318"/>
      <c r="F706" s="318"/>
      <c r="G706" s="318"/>
      <c r="H706" s="318"/>
      <c r="I706" s="318"/>
      <c r="J706" s="318"/>
      <c r="K706" s="318"/>
      <c r="L706" s="318"/>
      <c r="M706" s="318"/>
    </row>
    <row r="707" spans="2:13">
      <c r="B707" s="515"/>
      <c r="C707" s="318"/>
      <c r="D707" s="318"/>
      <c r="E707" s="318"/>
      <c r="F707" s="318"/>
      <c r="G707" s="318"/>
      <c r="H707" s="318"/>
      <c r="I707" s="318"/>
      <c r="J707" s="318"/>
      <c r="K707" s="318"/>
      <c r="L707" s="318"/>
      <c r="M707" s="318"/>
    </row>
    <row r="708" spans="2:13">
      <c r="B708" s="515"/>
      <c r="C708" s="318"/>
      <c r="D708" s="318"/>
      <c r="E708" s="318"/>
      <c r="F708" s="318"/>
      <c r="G708" s="318"/>
      <c r="H708" s="318"/>
      <c r="I708" s="318"/>
      <c r="J708" s="318"/>
      <c r="K708" s="318"/>
      <c r="L708" s="318"/>
      <c r="M708" s="318"/>
    </row>
    <row r="709" spans="2:13">
      <c r="B709" s="515"/>
      <c r="C709" s="318"/>
      <c r="D709" s="318"/>
      <c r="E709" s="318"/>
      <c r="F709" s="318"/>
      <c r="G709" s="318"/>
      <c r="H709" s="318"/>
      <c r="I709" s="318"/>
      <c r="J709" s="318"/>
      <c r="K709" s="318"/>
      <c r="L709" s="318"/>
      <c r="M709" s="318"/>
    </row>
    <row r="710" spans="2:13">
      <c r="B710" s="515"/>
      <c r="C710" s="318"/>
      <c r="D710" s="318"/>
      <c r="E710" s="318"/>
      <c r="F710" s="318"/>
      <c r="G710" s="318"/>
      <c r="H710" s="318"/>
      <c r="I710" s="318"/>
      <c r="J710" s="318"/>
      <c r="K710" s="318"/>
      <c r="L710" s="318"/>
      <c r="M710" s="318"/>
    </row>
    <row r="711" spans="2:13">
      <c r="B711" s="515"/>
      <c r="C711" s="318"/>
      <c r="D711" s="318"/>
      <c r="E711" s="318"/>
      <c r="F711" s="318"/>
      <c r="G711" s="318"/>
      <c r="H711" s="318"/>
      <c r="I711" s="318"/>
      <c r="J711" s="318"/>
      <c r="K711" s="318"/>
      <c r="L711" s="318"/>
      <c r="M711" s="318"/>
    </row>
    <row r="712" spans="2:13">
      <c r="B712" s="515"/>
      <c r="C712" s="318"/>
      <c r="D712" s="318"/>
      <c r="E712" s="318"/>
      <c r="F712" s="318"/>
      <c r="G712" s="318"/>
      <c r="H712" s="318"/>
      <c r="I712" s="318"/>
      <c r="J712" s="318"/>
      <c r="K712" s="318"/>
      <c r="L712" s="318"/>
      <c r="M712" s="318"/>
    </row>
    <row r="713" spans="2:13">
      <c r="B713" s="515"/>
      <c r="C713" s="318"/>
      <c r="D713" s="318"/>
      <c r="E713" s="318"/>
      <c r="F713" s="318"/>
      <c r="G713" s="318"/>
      <c r="H713" s="318"/>
      <c r="I713" s="318"/>
      <c r="J713" s="318"/>
      <c r="K713" s="318"/>
      <c r="L713" s="318"/>
      <c r="M713" s="318"/>
    </row>
    <row r="714" spans="2:13">
      <c r="B714" s="515"/>
      <c r="C714" s="318"/>
      <c r="D714" s="318"/>
      <c r="E714" s="318"/>
      <c r="F714" s="318"/>
      <c r="G714" s="318"/>
      <c r="H714" s="318"/>
      <c r="I714" s="318"/>
      <c r="J714" s="318"/>
      <c r="K714" s="318"/>
      <c r="L714" s="318"/>
      <c r="M714" s="318"/>
    </row>
    <row r="715" spans="2:13">
      <c r="B715" s="515"/>
      <c r="C715" s="318"/>
      <c r="D715" s="318"/>
      <c r="E715" s="318"/>
      <c r="F715" s="318"/>
      <c r="G715" s="318"/>
      <c r="H715" s="318"/>
      <c r="I715" s="318"/>
      <c r="J715" s="318"/>
      <c r="K715" s="318"/>
      <c r="L715" s="318"/>
      <c r="M715" s="318"/>
    </row>
    <row r="716" spans="2:13">
      <c r="B716" s="515"/>
      <c r="C716" s="318"/>
      <c r="D716" s="318"/>
      <c r="E716" s="318"/>
      <c r="F716" s="318"/>
      <c r="G716" s="318"/>
      <c r="H716" s="318"/>
      <c r="I716" s="318"/>
      <c r="J716" s="318"/>
      <c r="K716" s="318"/>
      <c r="L716" s="318"/>
      <c r="M716" s="318"/>
    </row>
    <row r="717" spans="2:13">
      <c r="B717" s="515"/>
      <c r="C717" s="318"/>
      <c r="D717" s="318"/>
      <c r="E717" s="318"/>
      <c r="F717" s="318"/>
      <c r="G717" s="318"/>
      <c r="H717" s="318"/>
      <c r="I717" s="318"/>
      <c r="J717" s="318"/>
      <c r="K717" s="318"/>
      <c r="L717" s="318"/>
      <c r="M717" s="318"/>
    </row>
    <row r="718" spans="2:13">
      <c r="B718" s="515"/>
      <c r="C718" s="318"/>
      <c r="D718" s="318"/>
      <c r="E718" s="318"/>
      <c r="F718" s="318"/>
      <c r="G718" s="318"/>
      <c r="H718" s="318"/>
      <c r="I718" s="318"/>
      <c r="J718" s="318"/>
      <c r="K718" s="318"/>
      <c r="L718" s="318"/>
      <c r="M718" s="318"/>
    </row>
    <row r="719" spans="2:13">
      <c r="B719" s="515"/>
      <c r="C719" s="318"/>
      <c r="D719" s="318"/>
      <c r="E719" s="318"/>
      <c r="F719" s="318"/>
      <c r="G719" s="318"/>
      <c r="H719" s="318"/>
      <c r="I719" s="318"/>
      <c r="J719" s="318"/>
      <c r="K719" s="318"/>
      <c r="L719" s="318"/>
      <c r="M719" s="318"/>
    </row>
    <row r="720" spans="2:13">
      <c r="B720" s="515"/>
      <c r="C720" s="318"/>
      <c r="D720" s="318"/>
      <c r="E720" s="318"/>
      <c r="F720" s="318"/>
      <c r="G720" s="318"/>
      <c r="H720" s="318"/>
      <c r="I720" s="318"/>
      <c r="J720" s="318"/>
      <c r="K720" s="318"/>
      <c r="L720" s="318"/>
      <c r="M720" s="318"/>
    </row>
    <row r="721" spans="2:13">
      <c r="B721" s="515"/>
      <c r="C721" s="318"/>
      <c r="D721" s="318"/>
      <c r="E721" s="318"/>
      <c r="F721" s="318"/>
      <c r="G721" s="318"/>
      <c r="H721" s="318"/>
      <c r="I721" s="318"/>
      <c r="J721" s="318"/>
      <c r="K721" s="318"/>
      <c r="L721" s="318"/>
      <c r="M721" s="318"/>
    </row>
    <row r="722" spans="2:13">
      <c r="B722" s="515"/>
      <c r="C722" s="318"/>
      <c r="D722" s="318"/>
      <c r="E722" s="318"/>
      <c r="F722" s="318"/>
      <c r="G722" s="318"/>
      <c r="H722" s="318"/>
      <c r="I722" s="318"/>
      <c r="J722" s="318"/>
      <c r="K722" s="318"/>
      <c r="L722" s="318"/>
      <c r="M722" s="318"/>
    </row>
    <row r="723" spans="2:13">
      <c r="B723" s="515"/>
      <c r="C723" s="318"/>
      <c r="D723" s="318"/>
      <c r="E723" s="318"/>
      <c r="F723" s="318"/>
      <c r="G723" s="318"/>
      <c r="H723" s="318"/>
      <c r="I723" s="318"/>
      <c r="J723" s="318"/>
      <c r="K723" s="318"/>
      <c r="L723" s="318"/>
      <c r="M723" s="318"/>
    </row>
    <row r="724" spans="2:13">
      <c r="B724" s="515"/>
      <c r="C724" s="318"/>
      <c r="D724" s="318"/>
      <c r="E724" s="318"/>
      <c r="F724" s="318"/>
      <c r="G724" s="318"/>
      <c r="H724" s="318"/>
      <c r="I724" s="318"/>
      <c r="J724" s="318"/>
      <c r="K724" s="318"/>
      <c r="L724" s="318"/>
      <c r="M724" s="318"/>
    </row>
    <row r="725" spans="2:13">
      <c r="B725" s="515"/>
      <c r="C725" s="318"/>
      <c r="D725" s="318"/>
      <c r="E725" s="318"/>
      <c r="F725" s="318"/>
      <c r="G725" s="318"/>
      <c r="H725" s="318"/>
      <c r="I725" s="318"/>
      <c r="J725" s="318"/>
      <c r="K725" s="318"/>
      <c r="L725" s="318"/>
      <c r="M725" s="318"/>
    </row>
    <row r="726" spans="2:13">
      <c r="B726" s="515"/>
      <c r="C726" s="318"/>
      <c r="D726" s="318"/>
      <c r="E726" s="318"/>
      <c r="F726" s="318"/>
      <c r="G726" s="318"/>
      <c r="H726" s="318"/>
      <c r="I726" s="318"/>
      <c r="J726" s="318"/>
      <c r="K726" s="318"/>
      <c r="L726" s="318"/>
      <c r="M726" s="318"/>
    </row>
    <row r="727" spans="2:13">
      <c r="B727" s="515"/>
      <c r="C727" s="318"/>
      <c r="D727" s="318"/>
      <c r="E727" s="318"/>
      <c r="F727" s="318"/>
      <c r="G727" s="318"/>
      <c r="H727" s="318"/>
      <c r="I727" s="318"/>
      <c r="J727" s="318"/>
      <c r="K727" s="318"/>
      <c r="L727" s="318"/>
      <c r="M727" s="318"/>
    </row>
    <row r="728" spans="2:13">
      <c r="B728" s="515"/>
      <c r="C728" s="318"/>
      <c r="D728" s="318"/>
      <c r="E728" s="318"/>
      <c r="F728" s="318"/>
      <c r="G728" s="318"/>
      <c r="H728" s="318"/>
      <c r="I728" s="318"/>
      <c r="J728" s="318"/>
      <c r="K728" s="318"/>
      <c r="L728" s="318"/>
      <c r="M728" s="318"/>
    </row>
    <row r="729" spans="2:13">
      <c r="B729" s="515"/>
      <c r="C729" s="318"/>
      <c r="D729" s="318"/>
      <c r="E729" s="318"/>
      <c r="F729" s="318"/>
      <c r="G729" s="318"/>
      <c r="H729" s="318"/>
      <c r="I729" s="318"/>
      <c r="J729" s="318"/>
      <c r="K729" s="318"/>
      <c r="L729" s="318"/>
      <c r="M729" s="318"/>
    </row>
    <row r="730" spans="2:13">
      <c r="B730" s="515"/>
      <c r="C730" s="318"/>
      <c r="D730" s="318"/>
      <c r="E730" s="318"/>
      <c r="F730" s="318"/>
      <c r="G730" s="318"/>
      <c r="H730" s="318"/>
      <c r="I730" s="318"/>
      <c r="J730" s="318"/>
      <c r="K730" s="318"/>
      <c r="L730" s="318"/>
      <c r="M730" s="318"/>
    </row>
    <row r="731" spans="2:13">
      <c r="B731" s="515"/>
      <c r="C731" s="318"/>
      <c r="D731" s="318"/>
      <c r="E731" s="318"/>
      <c r="F731" s="318"/>
      <c r="G731" s="318"/>
      <c r="H731" s="318"/>
      <c r="I731" s="318"/>
      <c r="J731" s="318"/>
      <c r="K731" s="318"/>
      <c r="L731" s="318"/>
      <c r="M731" s="318"/>
    </row>
    <row r="732" spans="2:13">
      <c r="B732" s="515"/>
      <c r="C732" s="318"/>
      <c r="D732" s="318"/>
      <c r="E732" s="318"/>
      <c r="F732" s="318"/>
      <c r="G732" s="318"/>
      <c r="H732" s="318"/>
      <c r="I732" s="318"/>
      <c r="J732" s="318"/>
      <c r="K732" s="318"/>
      <c r="L732" s="318"/>
      <c r="M732" s="318"/>
    </row>
    <row r="733" spans="2:13">
      <c r="B733" s="515"/>
      <c r="C733" s="318"/>
      <c r="D733" s="318"/>
      <c r="E733" s="318"/>
      <c r="F733" s="318"/>
      <c r="G733" s="318"/>
      <c r="H733" s="318"/>
      <c r="I733" s="318"/>
      <c r="J733" s="318"/>
      <c r="K733" s="318"/>
      <c r="L733" s="318"/>
      <c r="M733" s="318"/>
    </row>
    <row r="734" spans="2:13">
      <c r="B734" s="515"/>
      <c r="C734" s="318"/>
      <c r="D734" s="318"/>
      <c r="E734" s="318"/>
      <c r="F734" s="318"/>
      <c r="G734" s="318"/>
      <c r="H734" s="318"/>
      <c r="I734" s="318"/>
      <c r="J734" s="318"/>
      <c r="K734" s="318"/>
      <c r="L734" s="318"/>
      <c r="M734" s="318"/>
    </row>
    <row r="735" spans="2:13">
      <c r="B735" s="515"/>
      <c r="C735" s="318"/>
      <c r="D735" s="318"/>
      <c r="E735" s="318"/>
      <c r="F735" s="318"/>
      <c r="G735" s="318"/>
      <c r="H735" s="318"/>
      <c r="I735" s="318"/>
      <c r="J735" s="318"/>
      <c r="K735" s="318"/>
      <c r="L735" s="318"/>
      <c r="M735" s="318"/>
    </row>
    <row r="736" spans="2:13">
      <c r="B736" s="515"/>
      <c r="C736" s="318"/>
      <c r="D736" s="318"/>
      <c r="E736" s="318"/>
      <c r="F736" s="318"/>
      <c r="G736" s="318"/>
      <c r="H736" s="318"/>
      <c r="I736" s="318"/>
      <c r="J736" s="318"/>
      <c r="K736" s="318"/>
      <c r="L736" s="318"/>
      <c r="M736" s="318"/>
    </row>
    <row r="737" spans="2:13">
      <c r="B737" s="515"/>
      <c r="C737" s="318"/>
      <c r="D737" s="318"/>
      <c r="E737" s="318"/>
      <c r="F737" s="318"/>
      <c r="G737" s="318"/>
      <c r="H737" s="318"/>
      <c r="I737" s="318"/>
      <c r="J737" s="318"/>
      <c r="K737" s="318"/>
      <c r="L737" s="318"/>
      <c r="M737" s="318"/>
    </row>
    <row r="738" spans="2:13">
      <c r="B738" s="515"/>
      <c r="C738" s="318"/>
      <c r="D738" s="318"/>
      <c r="E738" s="318"/>
      <c r="F738" s="318"/>
      <c r="G738" s="318"/>
      <c r="H738" s="318"/>
      <c r="I738" s="318"/>
      <c r="J738" s="318"/>
      <c r="K738" s="318"/>
      <c r="L738" s="318"/>
      <c r="M738" s="318"/>
    </row>
    <row r="739" spans="2:13">
      <c r="B739" s="515"/>
      <c r="C739" s="318"/>
      <c r="D739" s="318"/>
      <c r="E739" s="318"/>
      <c r="F739" s="318"/>
      <c r="G739" s="318"/>
      <c r="H739" s="318"/>
      <c r="I739" s="318"/>
      <c r="J739" s="318"/>
      <c r="K739" s="318"/>
      <c r="L739" s="318"/>
      <c r="M739" s="318"/>
    </row>
    <row r="740" spans="2:13">
      <c r="B740" s="515"/>
      <c r="C740" s="318"/>
      <c r="D740" s="318"/>
      <c r="E740" s="318"/>
      <c r="F740" s="318"/>
      <c r="G740" s="318"/>
      <c r="H740" s="318"/>
      <c r="I740" s="318"/>
      <c r="J740" s="318"/>
      <c r="K740" s="318"/>
      <c r="L740" s="318"/>
      <c r="M740" s="318"/>
    </row>
    <row r="741" spans="2:13">
      <c r="B741" s="515"/>
      <c r="C741" s="318"/>
      <c r="D741" s="318"/>
      <c r="E741" s="318"/>
      <c r="F741" s="318"/>
      <c r="G741" s="318"/>
      <c r="H741" s="318"/>
      <c r="I741" s="318"/>
      <c r="J741" s="318"/>
      <c r="K741" s="318"/>
      <c r="L741" s="318"/>
      <c r="M741" s="318"/>
    </row>
    <row r="742" spans="2:13">
      <c r="B742" s="515"/>
      <c r="C742" s="318"/>
      <c r="D742" s="318"/>
      <c r="E742" s="318"/>
      <c r="F742" s="318"/>
      <c r="G742" s="318"/>
      <c r="H742" s="318"/>
      <c r="I742" s="318"/>
      <c r="J742" s="318"/>
      <c r="K742" s="318"/>
      <c r="L742" s="318"/>
      <c r="M742" s="318"/>
    </row>
    <row r="743" spans="2:13">
      <c r="B743" s="515"/>
      <c r="C743" s="318"/>
      <c r="D743" s="318"/>
      <c r="E743" s="318"/>
      <c r="F743" s="318"/>
      <c r="G743" s="318"/>
      <c r="H743" s="318"/>
      <c r="I743" s="318"/>
      <c r="J743" s="318"/>
      <c r="K743" s="318"/>
      <c r="L743" s="318"/>
      <c r="M743" s="318"/>
    </row>
    <row r="744" spans="2:13">
      <c r="B744" s="515"/>
      <c r="C744" s="318"/>
      <c r="D744" s="318"/>
      <c r="E744" s="318"/>
      <c r="F744" s="318"/>
      <c r="G744" s="318"/>
      <c r="H744" s="318"/>
      <c r="I744" s="318"/>
      <c r="J744" s="318"/>
      <c r="K744" s="318"/>
      <c r="L744" s="318"/>
      <c r="M744" s="318"/>
    </row>
    <row r="745" spans="2:13">
      <c r="B745" s="515"/>
      <c r="C745" s="318"/>
      <c r="D745" s="318"/>
      <c r="E745" s="318"/>
      <c r="F745" s="318"/>
      <c r="G745" s="318"/>
      <c r="H745" s="318"/>
      <c r="I745" s="318"/>
      <c r="J745" s="318"/>
      <c r="K745" s="318"/>
      <c r="L745" s="318"/>
      <c r="M745" s="318"/>
    </row>
    <row r="746" spans="2:13">
      <c r="B746" s="515"/>
      <c r="C746" s="318"/>
      <c r="D746" s="318"/>
      <c r="E746" s="318"/>
      <c r="F746" s="318"/>
      <c r="G746" s="318"/>
      <c r="H746" s="318"/>
      <c r="I746" s="318"/>
      <c r="J746" s="318"/>
      <c r="K746" s="318"/>
      <c r="L746" s="318"/>
      <c r="M746" s="318"/>
    </row>
    <row r="747" spans="2:13">
      <c r="B747" s="515"/>
      <c r="C747" s="318"/>
      <c r="D747" s="318"/>
      <c r="E747" s="318"/>
      <c r="F747" s="318"/>
      <c r="G747" s="318"/>
      <c r="H747" s="318"/>
      <c r="I747" s="318"/>
      <c r="J747" s="318"/>
      <c r="K747" s="318"/>
      <c r="L747" s="318"/>
      <c r="M747" s="318"/>
    </row>
    <row r="748" spans="2:13">
      <c r="B748" s="515"/>
      <c r="C748" s="318"/>
      <c r="D748" s="318"/>
      <c r="E748" s="318"/>
      <c r="F748" s="318"/>
      <c r="G748" s="318"/>
      <c r="H748" s="318"/>
      <c r="I748" s="318"/>
      <c r="J748" s="318"/>
      <c r="K748" s="318"/>
      <c r="L748" s="318"/>
      <c r="M748" s="318"/>
    </row>
    <row r="749" spans="2:13">
      <c r="B749" s="515"/>
      <c r="C749" s="318"/>
      <c r="D749" s="318"/>
      <c r="E749" s="318"/>
      <c r="F749" s="318"/>
      <c r="G749" s="318"/>
      <c r="H749" s="318"/>
      <c r="I749" s="318"/>
      <c r="J749" s="318"/>
      <c r="K749" s="318"/>
      <c r="L749" s="318"/>
      <c r="M749" s="318"/>
    </row>
    <row r="750" spans="2:13">
      <c r="B750" s="515"/>
      <c r="C750" s="318"/>
      <c r="D750" s="318"/>
      <c r="E750" s="318"/>
      <c r="F750" s="318"/>
      <c r="G750" s="318"/>
      <c r="H750" s="318"/>
      <c r="I750" s="318"/>
      <c r="J750" s="318"/>
      <c r="K750" s="318"/>
      <c r="L750" s="318"/>
      <c r="M750" s="318"/>
    </row>
    <row r="751" spans="2:13">
      <c r="B751" s="515"/>
      <c r="C751" s="318"/>
      <c r="D751" s="318"/>
      <c r="E751" s="318"/>
      <c r="F751" s="318"/>
      <c r="G751" s="318"/>
      <c r="H751" s="318"/>
      <c r="I751" s="318"/>
      <c r="J751" s="318"/>
      <c r="K751" s="318"/>
      <c r="L751" s="318"/>
      <c r="M751" s="318"/>
    </row>
    <row r="752" spans="2:13">
      <c r="B752" s="515"/>
      <c r="C752" s="318"/>
      <c r="D752" s="318"/>
      <c r="E752" s="318"/>
      <c r="F752" s="318"/>
      <c r="G752" s="318"/>
      <c r="H752" s="318"/>
      <c r="I752" s="318"/>
      <c r="J752" s="318"/>
      <c r="K752" s="318"/>
      <c r="L752" s="318"/>
      <c r="M752" s="318"/>
    </row>
    <row r="753" spans="2:13">
      <c r="B753" s="515"/>
      <c r="C753" s="318"/>
      <c r="D753" s="318"/>
      <c r="E753" s="318"/>
      <c r="F753" s="318"/>
      <c r="G753" s="318"/>
      <c r="H753" s="318"/>
      <c r="I753" s="318"/>
      <c r="J753" s="318"/>
      <c r="K753" s="318"/>
      <c r="L753" s="318"/>
      <c r="M753" s="318"/>
    </row>
    <row r="754" spans="2:13">
      <c r="B754" s="515"/>
      <c r="C754" s="318"/>
      <c r="D754" s="318"/>
      <c r="E754" s="318"/>
      <c r="F754" s="318"/>
      <c r="G754" s="318"/>
      <c r="H754" s="318"/>
      <c r="I754" s="318"/>
      <c r="J754" s="318"/>
      <c r="K754" s="318"/>
      <c r="L754" s="318"/>
      <c r="M754" s="318"/>
    </row>
    <row r="755" spans="2:13">
      <c r="B755" s="515"/>
      <c r="C755" s="318"/>
      <c r="D755" s="318"/>
      <c r="E755" s="318"/>
      <c r="F755" s="318"/>
      <c r="G755" s="318"/>
      <c r="H755" s="318"/>
      <c r="I755" s="318"/>
      <c r="J755" s="318"/>
      <c r="K755" s="318"/>
      <c r="L755" s="318"/>
      <c r="M755" s="318"/>
    </row>
    <row r="756" spans="2:13">
      <c r="B756" s="515"/>
      <c r="C756" s="318"/>
      <c r="D756" s="318"/>
      <c r="E756" s="318"/>
      <c r="F756" s="318"/>
      <c r="G756" s="318"/>
      <c r="H756" s="318"/>
      <c r="I756" s="318"/>
      <c r="J756" s="318"/>
      <c r="K756" s="318"/>
      <c r="L756" s="318"/>
      <c r="M756" s="318"/>
    </row>
    <row r="757" spans="2:13">
      <c r="B757" s="515"/>
      <c r="C757" s="318"/>
      <c r="D757" s="318"/>
      <c r="E757" s="318"/>
      <c r="F757" s="318"/>
      <c r="G757" s="318"/>
      <c r="H757" s="318"/>
      <c r="I757" s="318"/>
      <c r="J757" s="318"/>
      <c r="K757" s="318"/>
      <c r="L757" s="318"/>
      <c r="M757" s="318"/>
    </row>
    <row r="758" spans="2:13">
      <c r="B758" s="515"/>
      <c r="C758" s="318"/>
      <c r="D758" s="318"/>
      <c r="E758" s="318"/>
      <c r="F758" s="318"/>
      <c r="G758" s="318"/>
      <c r="H758" s="318"/>
      <c r="I758" s="318"/>
      <c r="J758" s="318"/>
      <c r="K758" s="318"/>
      <c r="L758" s="318"/>
      <c r="M758" s="318"/>
    </row>
    <row r="759" spans="2:13">
      <c r="B759" s="515"/>
      <c r="C759" s="318"/>
      <c r="D759" s="318"/>
      <c r="E759" s="318"/>
      <c r="F759" s="318"/>
      <c r="G759" s="318"/>
      <c r="H759" s="318"/>
      <c r="I759" s="318"/>
      <c r="J759" s="318"/>
      <c r="K759" s="318"/>
      <c r="L759" s="318"/>
      <c r="M759" s="318"/>
    </row>
    <row r="760" spans="2:13">
      <c r="B760" s="515"/>
      <c r="C760" s="318"/>
      <c r="D760" s="318"/>
      <c r="E760" s="318"/>
      <c r="F760" s="318"/>
      <c r="G760" s="318"/>
      <c r="H760" s="318"/>
      <c r="I760" s="318"/>
      <c r="J760" s="318"/>
      <c r="K760" s="318"/>
      <c r="L760" s="318"/>
      <c r="M760" s="318"/>
    </row>
    <row r="761" spans="2:13">
      <c r="B761" s="515"/>
      <c r="C761" s="318"/>
      <c r="D761" s="318"/>
      <c r="E761" s="318"/>
      <c r="F761" s="318"/>
      <c r="G761" s="318"/>
      <c r="H761" s="318"/>
      <c r="I761" s="318"/>
      <c r="J761" s="318"/>
      <c r="K761" s="318"/>
      <c r="L761" s="318"/>
      <c r="M761" s="318"/>
    </row>
    <row r="762" spans="2:13">
      <c r="B762" s="515"/>
      <c r="C762" s="318"/>
      <c r="D762" s="318"/>
      <c r="E762" s="318"/>
      <c r="F762" s="318"/>
      <c r="G762" s="318"/>
      <c r="H762" s="318"/>
      <c r="I762" s="318"/>
      <c r="J762" s="318"/>
      <c r="K762" s="318"/>
      <c r="L762" s="318"/>
      <c r="M762" s="318"/>
    </row>
    <row r="763" spans="2:13">
      <c r="B763" s="515"/>
      <c r="C763" s="318"/>
      <c r="D763" s="318"/>
      <c r="E763" s="318"/>
      <c r="F763" s="318"/>
      <c r="G763" s="318"/>
      <c r="H763" s="318"/>
      <c r="I763" s="318"/>
      <c r="J763" s="318"/>
      <c r="K763" s="318"/>
      <c r="L763" s="318"/>
      <c r="M763" s="318"/>
    </row>
    <row r="764" spans="2:13">
      <c r="B764" s="515"/>
      <c r="C764" s="318"/>
      <c r="D764" s="318"/>
      <c r="E764" s="318"/>
      <c r="F764" s="318"/>
      <c r="G764" s="318"/>
      <c r="H764" s="318"/>
      <c r="I764" s="318"/>
      <c r="J764" s="318"/>
      <c r="K764" s="318"/>
      <c r="L764" s="318"/>
      <c r="M764" s="318"/>
    </row>
    <row r="765" spans="2:13">
      <c r="B765" s="515"/>
      <c r="C765" s="318"/>
      <c r="D765" s="318"/>
      <c r="E765" s="318"/>
      <c r="F765" s="318"/>
      <c r="G765" s="318"/>
      <c r="H765" s="318"/>
      <c r="I765" s="318"/>
      <c r="J765" s="318"/>
      <c r="K765" s="318"/>
      <c r="L765" s="318"/>
      <c r="M765" s="318"/>
    </row>
    <row r="766" spans="2:13">
      <c r="B766" s="515"/>
      <c r="C766" s="318"/>
      <c r="D766" s="318"/>
      <c r="E766" s="318"/>
      <c r="F766" s="318"/>
      <c r="G766" s="318"/>
      <c r="H766" s="318"/>
      <c r="I766" s="318"/>
      <c r="J766" s="318"/>
      <c r="K766" s="318"/>
      <c r="L766" s="318"/>
      <c r="M766" s="318"/>
    </row>
    <row r="767" spans="2:13">
      <c r="B767" s="515"/>
      <c r="C767" s="318"/>
      <c r="D767" s="318"/>
      <c r="E767" s="318"/>
      <c r="F767" s="318"/>
      <c r="G767" s="318"/>
      <c r="H767" s="318"/>
      <c r="I767" s="318"/>
      <c r="J767" s="318"/>
      <c r="K767" s="318"/>
      <c r="L767" s="318"/>
      <c r="M767" s="318"/>
    </row>
    <row r="768" spans="2:13">
      <c r="B768" s="515"/>
      <c r="C768" s="318"/>
      <c r="D768" s="318"/>
      <c r="E768" s="318"/>
      <c r="F768" s="318"/>
      <c r="G768" s="318"/>
      <c r="H768" s="318"/>
      <c r="I768" s="318"/>
      <c r="J768" s="318"/>
      <c r="K768" s="318"/>
      <c r="L768" s="318"/>
      <c r="M768" s="318"/>
    </row>
    <row r="769" spans="2:13">
      <c r="B769" s="515"/>
      <c r="C769" s="318"/>
      <c r="D769" s="318"/>
      <c r="E769" s="318"/>
      <c r="F769" s="318"/>
      <c r="G769" s="318"/>
      <c r="H769" s="318"/>
      <c r="I769" s="318"/>
      <c r="J769" s="318"/>
      <c r="K769" s="318"/>
      <c r="L769" s="318"/>
      <c r="M769" s="318"/>
    </row>
    <row r="770" spans="2:13">
      <c r="B770" s="515"/>
      <c r="C770" s="318"/>
      <c r="D770" s="318"/>
      <c r="E770" s="318"/>
      <c r="F770" s="318"/>
      <c r="G770" s="318"/>
      <c r="H770" s="318"/>
      <c r="I770" s="318"/>
      <c r="J770" s="318"/>
      <c r="K770" s="318"/>
      <c r="L770" s="318"/>
      <c r="M770" s="318"/>
    </row>
    <row r="771" spans="2:13">
      <c r="B771" s="515"/>
      <c r="C771" s="318"/>
      <c r="D771" s="318"/>
      <c r="E771" s="318"/>
      <c r="F771" s="318"/>
      <c r="G771" s="318"/>
      <c r="H771" s="318"/>
      <c r="I771" s="318"/>
      <c r="J771" s="318"/>
      <c r="K771" s="318"/>
      <c r="L771" s="318"/>
      <c r="M771" s="318"/>
    </row>
    <row r="772" spans="2:13">
      <c r="B772" s="515"/>
      <c r="C772" s="318"/>
      <c r="D772" s="318"/>
      <c r="E772" s="318"/>
      <c r="F772" s="318"/>
      <c r="G772" s="318"/>
      <c r="H772" s="318"/>
      <c r="I772" s="318"/>
      <c r="J772" s="318"/>
      <c r="K772" s="318"/>
      <c r="L772" s="318"/>
      <c r="M772" s="318"/>
    </row>
    <row r="773" spans="2:13">
      <c r="B773" s="515"/>
      <c r="C773" s="318"/>
      <c r="D773" s="318"/>
      <c r="E773" s="318"/>
      <c r="F773" s="318"/>
      <c r="G773" s="318"/>
      <c r="H773" s="318"/>
      <c r="I773" s="318"/>
      <c r="J773" s="318"/>
      <c r="K773" s="318"/>
      <c r="L773" s="318"/>
      <c r="M773" s="318"/>
    </row>
    <row r="774" spans="2:13">
      <c r="B774" s="515"/>
      <c r="C774" s="318"/>
      <c r="D774" s="318"/>
      <c r="E774" s="318"/>
      <c r="F774" s="318"/>
      <c r="G774" s="318"/>
      <c r="H774" s="318"/>
      <c r="I774" s="318"/>
      <c r="J774" s="318"/>
      <c r="K774" s="318"/>
      <c r="L774" s="318"/>
      <c r="M774" s="318"/>
    </row>
    <row r="775" spans="2:13">
      <c r="B775" s="515"/>
      <c r="C775" s="318"/>
      <c r="D775" s="318"/>
      <c r="E775" s="318"/>
      <c r="F775" s="318"/>
      <c r="G775" s="318"/>
      <c r="H775" s="318"/>
      <c r="I775" s="318"/>
      <c r="J775" s="318"/>
      <c r="K775" s="318"/>
      <c r="L775" s="318"/>
      <c r="M775" s="318"/>
    </row>
    <row r="776" spans="2:13">
      <c r="B776" s="515"/>
      <c r="C776" s="318"/>
      <c r="D776" s="318"/>
      <c r="E776" s="318"/>
      <c r="F776" s="318"/>
      <c r="G776" s="318"/>
      <c r="H776" s="318"/>
      <c r="I776" s="318"/>
      <c r="J776" s="318"/>
      <c r="K776" s="318"/>
      <c r="L776" s="318"/>
      <c r="M776" s="318"/>
    </row>
    <row r="777" spans="2:13">
      <c r="B777" s="515"/>
      <c r="C777" s="318"/>
      <c r="D777" s="318"/>
      <c r="E777" s="318"/>
      <c r="F777" s="318"/>
      <c r="G777" s="318"/>
      <c r="H777" s="318"/>
      <c r="I777" s="318"/>
      <c r="J777" s="318"/>
      <c r="K777" s="318"/>
      <c r="L777" s="318"/>
      <c r="M777" s="318"/>
    </row>
    <row r="778" spans="2:13">
      <c r="B778" s="515"/>
      <c r="C778" s="318"/>
      <c r="D778" s="318"/>
      <c r="E778" s="318"/>
      <c r="F778" s="318"/>
      <c r="G778" s="318"/>
      <c r="H778" s="318"/>
      <c r="I778" s="318"/>
      <c r="J778" s="318"/>
      <c r="K778" s="318"/>
      <c r="L778" s="318"/>
      <c r="M778" s="318"/>
    </row>
    <row r="779" spans="2:13">
      <c r="B779" s="515"/>
      <c r="C779" s="318"/>
      <c r="D779" s="318"/>
      <c r="E779" s="318"/>
      <c r="F779" s="318"/>
      <c r="G779" s="318"/>
      <c r="H779" s="318"/>
      <c r="I779" s="318"/>
      <c r="J779" s="318"/>
      <c r="K779" s="318"/>
      <c r="L779" s="318"/>
      <c r="M779" s="318"/>
    </row>
    <row r="780" spans="2:13">
      <c r="B780" s="515"/>
      <c r="C780" s="318"/>
      <c r="D780" s="318"/>
      <c r="E780" s="318"/>
      <c r="F780" s="318"/>
      <c r="G780" s="318"/>
      <c r="H780" s="318"/>
      <c r="I780" s="318"/>
      <c r="J780" s="318"/>
      <c r="K780" s="318"/>
      <c r="L780" s="318"/>
      <c r="M780" s="318"/>
    </row>
    <row r="781" spans="2:13">
      <c r="B781" s="515"/>
      <c r="C781" s="318"/>
      <c r="D781" s="318"/>
      <c r="E781" s="318"/>
      <c r="F781" s="318"/>
      <c r="G781" s="318"/>
      <c r="H781" s="318"/>
      <c r="I781" s="318"/>
      <c r="J781" s="318"/>
      <c r="K781" s="318"/>
      <c r="L781" s="318"/>
      <c r="M781" s="318"/>
    </row>
    <row r="782" spans="2:13">
      <c r="B782" s="515"/>
      <c r="C782" s="318"/>
      <c r="D782" s="318"/>
      <c r="E782" s="318"/>
      <c r="F782" s="318"/>
      <c r="G782" s="318"/>
      <c r="H782" s="318"/>
      <c r="I782" s="318"/>
      <c r="J782" s="318"/>
      <c r="K782" s="318"/>
      <c r="L782" s="318"/>
      <c r="M782" s="318"/>
    </row>
    <row r="783" spans="2:13">
      <c r="B783" s="515"/>
      <c r="C783" s="318"/>
      <c r="D783" s="318"/>
      <c r="E783" s="318"/>
      <c r="F783" s="318"/>
      <c r="G783" s="318"/>
      <c r="H783" s="318"/>
      <c r="I783" s="318"/>
      <c r="J783" s="318"/>
      <c r="K783" s="318"/>
      <c r="L783" s="318"/>
      <c r="M783" s="318"/>
    </row>
    <row r="784" spans="2:13">
      <c r="B784" s="515"/>
      <c r="C784" s="318"/>
      <c r="D784" s="318"/>
      <c r="E784" s="318"/>
      <c r="F784" s="318"/>
      <c r="G784" s="318"/>
      <c r="H784" s="318"/>
      <c r="I784" s="318"/>
      <c r="J784" s="318"/>
      <c r="K784" s="318"/>
      <c r="L784" s="318"/>
      <c r="M784" s="318"/>
    </row>
    <row r="785" spans="2:13">
      <c r="B785" s="515"/>
      <c r="C785" s="318"/>
      <c r="D785" s="318"/>
      <c r="E785" s="318"/>
      <c r="F785" s="318"/>
      <c r="G785" s="318"/>
      <c r="H785" s="318"/>
      <c r="I785" s="318"/>
      <c r="J785" s="318"/>
      <c r="K785" s="318"/>
      <c r="L785" s="318"/>
      <c r="M785" s="318"/>
    </row>
    <row r="786" spans="2:13">
      <c r="B786" s="515"/>
      <c r="C786" s="318"/>
      <c r="D786" s="318"/>
      <c r="E786" s="318"/>
      <c r="F786" s="318"/>
      <c r="G786" s="318"/>
      <c r="H786" s="318"/>
      <c r="I786" s="318"/>
      <c r="J786" s="318"/>
      <c r="K786" s="318"/>
      <c r="L786" s="318"/>
      <c r="M786" s="318"/>
    </row>
    <row r="787" spans="2:13">
      <c r="B787" s="515"/>
      <c r="C787" s="318"/>
      <c r="D787" s="318"/>
      <c r="E787" s="318"/>
      <c r="F787" s="318"/>
      <c r="G787" s="318"/>
      <c r="H787" s="318"/>
      <c r="I787" s="318"/>
      <c r="J787" s="318"/>
      <c r="K787" s="318"/>
      <c r="L787" s="318"/>
      <c r="M787" s="318"/>
    </row>
    <row r="788" spans="2:13">
      <c r="B788" s="515"/>
      <c r="C788" s="318"/>
      <c r="D788" s="318"/>
      <c r="E788" s="318"/>
      <c r="F788" s="318"/>
      <c r="G788" s="318"/>
      <c r="H788" s="318"/>
      <c r="I788" s="318"/>
      <c r="J788" s="318"/>
      <c r="K788" s="318"/>
      <c r="L788" s="318"/>
      <c r="M788" s="318"/>
    </row>
    <row r="789" spans="2:13">
      <c r="B789" s="515"/>
      <c r="C789" s="318"/>
      <c r="D789" s="318"/>
      <c r="E789" s="318"/>
      <c r="F789" s="318"/>
      <c r="G789" s="318"/>
      <c r="H789" s="318"/>
      <c r="I789" s="318"/>
      <c r="J789" s="318"/>
      <c r="K789" s="318"/>
      <c r="L789" s="318"/>
      <c r="M789" s="318"/>
    </row>
    <row r="790" spans="2:13">
      <c r="B790" s="515"/>
      <c r="C790" s="318"/>
      <c r="D790" s="318"/>
      <c r="E790" s="318"/>
      <c r="F790" s="318"/>
      <c r="G790" s="318"/>
      <c r="H790" s="318"/>
      <c r="I790" s="318"/>
      <c r="J790" s="318"/>
      <c r="K790" s="318"/>
      <c r="L790" s="318"/>
      <c r="M790" s="318"/>
    </row>
    <row r="791" spans="2:13">
      <c r="B791" s="515"/>
      <c r="C791" s="318"/>
      <c r="D791" s="318"/>
      <c r="E791" s="318"/>
      <c r="F791" s="318"/>
      <c r="G791" s="318"/>
      <c r="H791" s="318"/>
      <c r="I791" s="318"/>
      <c r="J791" s="318"/>
      <c r="K791" s="318"/>
      <c r="L791" s="318"/>
      <c r="M791" s="318"/>
    </row>
    <row r="792" spans="2:13">
      <c r="B792" s="515"/>
      <c r="C792" s="318"/>
      <c r="D792" s="318"/>
      <c r="E792" s="318"/>
      <c r="F792" s="318"/>
      <c r="G792" s="318"/>
      <c r="H792" s="318"/>
      <c r="I792" s="318"/>
      <c r="J792" s="318"/>
      <c r="K792" s="318"/>
      <c r="L792" s="318"/>
      <c r="M792" s="318"/>
    </row>
    <row r="793" spans="2:13">
      <c r="B793" s="515"/>
      <c r="C793" s="318"/>
      <c r="D793" s="318"/>
      <c r="E793" s="318"/>
      <c r="F793" s="318"/>
      <c r="G793" s="318"/>
      <c r="H793" s="318"/>
      <c r="I793" s="318"/>
      <c r="J793" s="318"/>
      <c r="K793" s="318"/>
      <c r="L793" s="318"/>
      <c r="M793" s="318"/>
    </row>
    <row r="794" spans="2:13">
      <c r="B794" s="515"/>
      <c r="C794" s="318"/>
      <c r="D794" s="318"/>
      <c r="E794" s="318"/>
      <c r="F794" s="318"/>
      <c r="G794" s="318"/>
      <c r="H794" s="318"/>
      <c r="I794" s="318"/>
      <c r="J794" s="318"/>
      <c r="K794" s="318"/>
      <c r="L794" s="318"/>
      <c r="M794" s="318"/>
    </row>
    <row r="795" spans="2:13">
      <c r="B795" s="515"/>
      <c r="C795" s="318"/>
      <c r="D795" s="318"/>
      <c r="E795" s="318"/>
      <c r="F795" s="318"/>
      <c r="G795" s="318"/>
      <c r="H795" s="318"/>
      <c r="I795" s="318"/>
      <c r="J795" s="318"/>
      <c r="K795" s="318"/>
      <c r="L795" s="318"/>
      <c r="M795" s="318"/>
    </row>
    <row r="796" spans="2:13">
      <c r="B796" s="515"/>
      <c r="C796" s="318"/>
      <c r="D796" s="318"/>
      <c r="E796" s="318"/>
      <c r="F796" s="318"/>
      <c r="G796" s="318"/>
      <c r="H796" s="318"/>
      <c r="I796" s="318"/>
      <c r="J796" s="318"/>
      <c r="K796" s="318"/>
      <c r="L796" s="318"/>
      <c r="M796" s="318"/>
    </row>
    <row r="797" spans="2:13">
      <c r="B797" s="515"/>
      <c r="C797" s="318"/>
      <c r="D797" s="318"/>
      <c r="E797" s="318"/>
      <c r="F797" s="318"/>
      <c r="G797" s="318"/>
      <c r="H797" s="318"/>
      <c r="I797" s="318"/>
      <c r="J797" s="318"/>
      <c r="K797" s="318"/>
      <c r="L797" s="318"/>
      <c r="M797" s="318"/>
    </row>
    <row r="798" spans="2:13">
      <c r="B798" s="515"/>
      <c r="C798" s="318"/>
      <c r="D798" s="318"/>
      <c r="E798" s="318"/>
      <c r="F798" s="318"/>
      <c r="G798" s="318"/>
      <c r="H798" s="318"/>
      <c r="I798" s="318"/>
      <c r="J798" s="318"/>
      <c r="K798" s="318"/>
      <c r="L798" s="318"/>
      <c r="M798" s="318"/>
    </row>
    <row r="799" spans="2:13">
      <c r="B799" s="515"/>
      <c r="C799" s="318"/>
      <c r="D799" s="318"/>
      <c r="E799" s="318"/>
      <c r="F799" s="318"/>
      <c r="G799" s="318"/>
      <c r="H799" s="318"/>
      <c r="I799" s="318"/>
      <c r="J799" s="318"/>
      <c r="K799" s="318"/>
      <c r="L799" s="318"/>
      <c r="M799" s="318"/>
    </row>
    <row r="800" spans="2:13">
      <c r="B800" s="515"/>
      <c r="C800" s="318"/>
      <c r="D800" s="318"/>
      <c r="E800" s="318"/>
      <c r="F800" s="318"/>
      <c r="G800" s="318"/>
      <c r="H800" s="318"/>
      <c r="I800" s="318"/>
      <c r="J800" s="318"/>
      <c r="K800" s="318"/>
      <c r="L800" s="318"/>
      <c r="M800" s="318"/>
    </row>
    <row r="801" spans="2:13">
      <c r="B801" s="515"/>
      <c r="C801" s="318"/>
      <c r="D801" s="318"/>
      <c r="E801" s="318"/>
      <c r="F801" s="318"/>
      <c r="G801" s="318"/>
      <c r="H801" s="318"/>
      <c r="I801" s="318"/>
      <c r="J801" s="318"/>
      <c r="K801" s="318"/>
      <c r="L801" s="318"/>
      <c r="M801" s="318"/>
    </row>
    <row r="802" spans="2:13">
      <c r="B802" s="515"/>
      <c r="C802" s="318"/>
      <c r="D802" s="318"/>
      <c r="E802" s="318"/>
      <c r="F802" s="318"/>
      <c r="G802" s="318"/>
      <c r="H802" s="318"/>
      <c r="I802" s="318"/>
      <c r="J802" s="318"/>
      <c r="K802" s="318"/>
      <c r="L802" s="318"/>
      <c r="M802" s="318"/>
    </row>
    <row r="803" spans="2:13">
      <c r="B803" s="515"/>
      <c r="C803" s="318"/>
      <c r="D803" s="318"/>
      <c r="E803" s="318"/>
      <c r="F803" s="318"/>
      <c r="G803" s="318"/>
      <c r="H803" s="318"/>
      <c r="I803" s="318"/>
      <c r="J803" s="318"/>
      <c r="K803" s="318"/>
      <c r="L803" s="318"/>
      <c r="M803" s="318"/>
    </row>
    <row r="804" spans="2:13">
      <c r="B804" s="515"/>
      <c r="C804" s="318"/>
      <c r="D804" s="318"/>
      <c r="E804" s="318"/>
      <c r="F804" s="318"/>
      <c r="G804" s="318"/>
      <c r="H804" s="318"/>
      <c r="I804" s="318"/>
      <c r="J804" s="318"/>
      <c r="K804" s="318"/>
      <c r="L804" s="318"/>
      <c r="M804" s="318"/>
    </row>
    <row r="805" spans="2:13">
      <c r="B805" s="515"/>
      <c r="C805" s="318"/>
      <c r="D805" s="318"/>
      <c r="E805" s="318"/>
      <c r="F805" s="318"/>
      <c r="G805" s="318"/>
      <c r="H805" s="318"/>
      <c r="I805" s="318"/>
      <c r="J805" s="318"/>
      <c r="K805" s="318"/>
      <c r="L805" s="318"/>
      <c r="M805" s="318"/>
    </row>
    <row r="806" spans="2:13">
      <c r="B806" s="515"/>
      <c r="C806" s="318"/>
      <c r="D806" s="318"/>
      <c r="E806" s="318"/>
      <c r="F806" s="318"/>
      <c r="G806" s="318"/>
      <c r="H806" s="318"/>
      <c r="I806" s="318"/>
      <c r="J806" s="318"/>
      <c r="K806" s="318"/>
      <c r="L806" s="318"/>
      <c r="M806" s="318"/>
    </row>
    <row r="807" spans="2:13">
      <c r="B807" s="515"/>
      <c r="C807" s="318"/>
      <c r="D807" s="318"/>
      <c r="E807" s="318"/>
      <c r="F807" s="318"/>
      <c r="G807" s="318"/>
      <c r="H807" s="318"/>
      <c r="I807" s="318"/>
      <c r="J807" s="318"/>
      <c r="K807" s="318"/>
      <c r="L807" s="318"/>
      <c r="M807" s="318"/>
    </row>
    <row r="808" spans="2:13">
      <c r="B808" s="515"/>
      <c r="C808" s="318"/>
      <c r="D808" s="318"/>
      <c r="E808" s="318"/>
      <c r="F808" s="318"/>
      <c r="G808" s="318"/>
      <c r="H808" s="318"/>
      <c r="I808" s="318"/>
      <c r="J808" s="318"/>
      <c r="K808" s="318"/>
      <c r="L808" s="318"/>
      <c r="M808" s="318"/>
    </row>
    <row r="809" spans="2:13">
      <c r="B809" s="515"/>
      <c r="C809" s="318"/>
      <c r="D809" s="318"/>
      <c r="E809" s="318"/>
      <c r="F809" s="318"/>
      <c r="G809" s="318"/>
      <c r="H809" s="318"/>
      <c r="I809" s="318"/>
      <c r="J809" s="318"/>
      <c r="K809" s="318"/>
      <c r="L809" s="318"/>
      <c r="M809" s="318"/>
    </row>
    <row r="810" spans="2:13">
      <c r="B810" s="515"/>
      <c r="C810" s="318"/>
      <c r="D810" s="318"/>
      <c r="E810" s="318"/>
      <c r="F810" s="318"/>
      <c r="G810" s="318"/>
      <c r="H810" s="318"/>
      <c r="I810" s="318"/>
      <c r="J810" s="318"/>
      <c r="K810" s="318"/>
      <c r="L810" s="318"/>
      <c r="M810" s="318"/>
    </row>
    <row r="811" spans="2:13">
      <c r="B811" s="515"/>
      <c r="C811" s="318"/>
      <c r="D811" s="318"/>
      <c r="E811" s="318"/>
      <c r="F811" s="318"/>
      <c r="G811" s="318"/>
      <c r="H811" s="318"/>
      <c r="I811" s="318"/>
      <c r="J811" s="318"/>
      <c r="K811" s="318"/>
      <c r="L811" s="318"/>
      <c r="M811" s="318"/>
    </row>
    <row r="812" spans="2:13">
      <c r="B812" s="515"/>
      <c r="C812" s="318"/>
      <c r="D812" s="318"/>
      <c r="E812" s="318"/>
      <c r="F812" s="318"/>
      <c r="G812" s="318"/>
      <c r="H812" s="318"/>
      <c r="I812" s="318"/>
      <c r="J812" s="318"/>
      <c r="K812" s="318"/>
      <c r="L812" s="318"/>
      <c r="M812" s="318"/>
    </row>
    <row r="813" spans="2:13">
      <c r="B813" s="515"/>
      <c r="C813" s="318"/>
      <c r="D813" s="318"/>
      <c r="E813" s="318"/>
      <c r="F813" s="318"/>
      <c r="G813" s="318"/>
      <c r="H813" s="318"/>
      <c r="I813" s="318"/>
      <c r="J813" s="318"/>
      <c r="K813" s="318"/>
      <c r="L813" s="318"/>
      <c r="M813" s="318"/>
    </row>
    <row r="814" spans="2:13">
      <c r="B814" s="515"/>
      <c r="C814" s="318"/>
      <c r="D814" s="318"/>
      <c r="E814" s="318"/>
      <c r="F814" s="318"/>
      <c r="G814" s="318"/>
      <c r="H814" s="318"/>
      <c r="I814" s="318"/>
      <c r="J814" s="318"/>
      <c r="K814" s="318"/>
      <c r="L814" s="318"/>
      <c r="M814" s="318"/>
    </row>
    <row r="815" spans="2:13">
      <c r="B815" s="515"/>
      <c r="C815" s="318"/>
      <c r="D815" s="318"/>
      <c r="E815" s="318"/>
      <c r="F815" s="318"/>
      <c r="G815" s="318"/>
      <c r="H815" s="318"/>
      <c r="I815" s="318"/>
      <c r="J815" s="318"/>
      <c r="K815" s="318"/>
      <c r="L815" s="318"/>
      <c r="M815" s="318"/>
    </row>
    <row r="816" spans="2:13">
      <c r="B816" s="515"/>
      <c r="C816" s="318"/>
      <c r="D816" s="318"/>
      <c r="E816" s="318"/>
      <c r="F816" s="318"/>
      <c r="G816" s="318"/>
      <c r="H816" s="318"/>
      <c r="I816" s="318"/>
      <c r="J816" s="318"/>
      <c r="K816" s="318"/>
      <c r="L816" s="318"/>
      <c r="M816" s="318"/>
    </row>
    <row r="817" spans="2:13">
      <c r="B817" s="515"/>
      <c r="C817" s="318"/>
      <c r="D817" s="318"/>
      <c r="E817" s="318"/>
      <c r="F817" s="318"/>
      <c r="G817" s="318"/>
      <c r="H817" s="318"/>
      <c r="I817" s="318"/>
      <c r="J817" s="318"/>
      <c r="K817" s="318"/>
      <c r="L817" s="318"/>
      <c r="M817" s="318"/>
    </row>
    <row r="818" spans="2:13">
      <c r="B818" s="515"/>
      <c r="C818" s="318"/>
      <c r="D818" s="318"/>
      <c r="E818" s="318"/>
      <c r="F818" s="318"/>
      <c r="G818" s="318"/>
      <c r="H818" s="318"/>
      <c r="I818" s="318"/>
      <c r="J818" s="318"/>
      <c r="K818" s="318"/>
      <c r="L818" s="318"/>
      <c r="M818" s="318"/>
    </row>
    <row r="819" spans="2:13">
      <c r="B819" s="515"/>
      <c r="C819" s="318"/>
      <c r="D819" s="318"/>
      <c r="E819" s="318"/>
      <c r="F819" s="318"/>
      <c r="G819" s="318"/>
      <c r="H819" s="318"/>
      <c r="I819" s="318"/>
      <c r="J819" s="318"/>
      <c r="K819" s="318"/>
      <c r="L819" s="318"/>
      <c r="M819" s="318"/>
    </row>
    <row r="820" spans="2:13">
      <c r="B820" s="515"/>
      <c r="C820" s="318"/>
      <c r="D820" s="318"/>
      <c r="E820" s="318"/>
      <c r="F820" s="318"/>
      <c r="G820" s="318"/>
      <c r="H820" s="318"/>
      <c r="I820" s="318"/>
      <c r="J820" s="318"/>
      <c r="K820" s="318"/>
      <c r="L820" s="318"/>
      <c r="M820" s="318"/>
    </row>
    <row r="821" spans="2:13">
      <c r="B821" s="515"/>
      <c r="C821" s="318"/>
      <c r="D821" s="318"/>
      <c r="E821" s="318"/>
      <c r="F821" s="318"/>
      <c r="G821" s="318"/>
      <c r="H821" s="318"/>
      <c r="I821" s="318"/>
      <c r="J821" s="318"/>
      <c r="K821" s="318"/>
      <c r="L821" s="318"/>
      <c r="M821" s="318"/>
    </row>
    <row r="822" spans="2:13">
      <c r="B822" s="515"/>
      <c r="C822" s="318"/>
      <c r="D822" s="318"/>
      <c r="E822" s="318"/>
      <c r="F822" s="318"/>
      <c r="G822" s="318"/>
      <c r="H822" s="318"/>
      <c r="I822" s="318"/>
      <c r="J822" s="318"/>
      <c r="K822" s="318"/>
      <c r="L822" s="318"/>
      <c r="M822" s="318"/>
    </row>
    <row r="823" spans="2:13">
      <c r="B823" s="515"/>
      <c r="C823" s="318"/>
      <c r="D823" s="318"/>
      <c r="E823" s="318"/>
      <c r="F823" s="318"/>
      <c r="G823" s="318"/>
      <c r="H823" s="318"/>
      <c r="I823" s="318"/>
      <c r="J823" s="318"/>
      <c r="K823" s="318"/>
      <c r="L823" s="318"/>
      <c r="M823" s="318"/>
    </row>
    <row r="824" spans="2:13">
      <c r="B824" s="515"/>
      <c r="C824" s="318"/>
      <c r="D824" s="318"/>
      <c r="E824" s="318"/>
      <c r="F824" s="318"/>
      <c r="G824" s="318"/>
      <c r="H824" s="318"/>
      <c r="I824" s="318"/>
      <c r="J824" s="318"/>
      <c r="K824" s="318"/>
      <c r="L824" s="318"/>
      <c r="M824" s="318"/>
    </row>
    <row r="825" spans="2:13">
      <c r="B825" s="515"/>
      <c r="C825" s="318"/>
      <c r="D825" s="318"/>
      <c r="E825" s="318"/>
      <c r="F825" s="318"/>
      <c r="G825" s="318"/>
      <c r="H825" s="318"/>
      <c r="I825" s="318"/>
      <c r="J825" s="318"/>
      <c r="K825" s="318"/>
      <c r="L825" s="318"/>
      <c r="M825" s="318"/>
    </row>
    <row r="826" spans="2:13">
      <c r="B826" s="515"/>
      <c r="C826" s="318"/>
      <c r="D826" s="318"/>
      <c r="E826" s="318"/>
      <c r="F826" s="318"/>
      <c r="G826" s="318"/>
      <c r="H826" s="318"/>
      <c r="I826" s="318"/>
      <c r="J826" s="318"/>
      <c r="K826" s="318"/>
      <c r="L826" s="318"/>
      <c r="M826" s="318"/>
    </row>
    <row r="827" spans="2:13">
      <c r="B827" s="515"/>
      <c r="C827" s="318"/>
      <c r="D827" s="318"/>
      <c r="E827" s="318"/>
      <c r="F827" s="318"/>
      <c r="G827" s="318"/>
      <c r="H827" s="318"/>
      <c r="I827" s="318"/>
      <c r="J827" s="318"/>
      <c r="K827" s="318"/>
      <c r="L827" s="318"/>
      <c r="M827" s="318"/>
    </row>
    <row r="828" spans="2:13">
      <c r="B828" s="515"/>
      <c r="C828" s="318"/>
      <c r="D828" s="318"/>
      <c r="E828" s="318"/>
      <c r="F828" s="318"/>
      <c r="G828" s="318"/>
      <c r="H828" s="318"/>
      <c r="I828" s="318"/>
      <c r="J828" s="318"/>
      <c r="K828" s="318"/>
      <c r="L828" s="318"/>
      <c r="M828" s="318"/>
    </row>
    <row r="829" spans="2:13">
      <c r="B829" s="515"/>
      <c r="C829" s="318"/>
      <c r="D829" s="318"/>
      <c r="E829" s="318"/>
      <c r="F829" s="318"/>
      <c r="G829" s="318"/>
      <c r="H829" s="318"/>
      <c r="I829" s="318"/>
      <c r="J829" s="318"/>
      <c r="K829" s="318"/>
      <c r="L829" s="318"/>
      <c r="M829" s="318"/>
    </row>
    <row r="830" spans="2:13">
      <c r="B830" s="515"/>
      <c r="C830" s="318"/>
      <c r="D830" s="318"/>
      <c r="E830" s="318"/>
      <c r="F830" s="318"/>
      <c r="G830" s="318"/>
      <c r="H830" s="318"/>
      <c r="I830" s="318"/>
      <c r="J830" s="318"/>
      <c r="K830" s="318"/>
      <c r="L830" s="318"/>
      <c r="M830" s="318"/>
    </row>
    <row r="831" spans="2:13">
      <c r="B831" s="515"/>
      <c r="C831" s="318"/>
      <c r="D831" s="318"/>
      <c r="E831" s="318"/>
      <c r="F831" s="318"/>
      <c r="G831" s="318"/>
      <c r="H831" s="318"/>
      <c r="I831" s="318"/>
      <c r="J831" s="318"/>
      <c r="K831" s="318"/>
      <c r="L831" s="318"/>
      <c r="M831" s="318"/>
    </row>
    <row r="832" spans="2:13">
      <c r="B832" s="515"/>
      <c r="C832" s="318"/>
      <c r="D832" s="318"/>
      <c r="E832" s="318"/>
      <c r="F832" s="318"/>
      <c r="G832" s="318"/>
      <c r="H832" s="318"/>
      <c r="I832" s="318"/>
      <c r="J832" s="318"/>
      <c r="K832" s="318"/>
      <c r="L832" s="318"/>
      <c r="M832" s="318"/>
    </row>
    <row r="833" spans="2:13">
      <c r="B833" s="515"/>
      <c r="C833" s="318"/>
      <c r="D833" s="318"/>
      <c r="E833" s="318"/>
      <c r="F833" s="318"/>
      <c r="G833" s="318"/>
      <c r="H833" s="318"/>
      <c r="I833" s="318"/>
      <c r="J833" s="318"/>
      <c r="K833" s="318"/>
      <c r="L833" s="318"/>
      <c r="M833" s="318"/>
    </row>
    <row r="834" spans="2:13">
      <c r="B834" s="515"/>
      <c r="C834" s="318"/>
      <c r="D834" s="318"/>
      <c r="E834" s="318"/>
      <c r="F834" s="318"/>
      <c r="G834" s="318"/>
      <c r="H834" s="318"/>
      <c r="I834" s="318"/>
      <c r="J834" s="318"/>
      <c r="K834" s="318"/>
      <c r="L834" s="318"/>
      <c r="M834" s="318"/>
    </row>
    <row r="835" spans="2:13">
      <c r="B835" s="515"/>
      <c r="C835" s="318"/>
      <c r="D835" s="318"/>
      <c r="E835" s="318"/>
      <c r="F835" s="318"/>
      <c r="G835" s="318"/>
      <c r="H835" s="318"/>
      <c r="I835" s="318"/>
      <c r="J835" s="318"/>
      <c r="K835" s="318"/>
      <c r="L835" s="318"/>
      <c r="M835" s="318"/>
    </row>
    <row r="836" spans="2:13">
      <c r="B836" s="515"/>
      <c r="C836" s="318"/>
      <c r="D836" s="318"/>
      <c r="E836" s="318"/>
      <c r="F836" s="318"/>
      <c r="G836" s="318"/>
      <c r="H836" s="318"/>
      <c r="I836" s="318"/>
      <c r="J836" s="318"/>
      <c r="K836" s="318"/>
      <c r="L836" s="318"/>
      <c r="M836" s="318"/>
    </row>
    <row r="837" spans="2:13">
      <c r="B837" s="515"/>
      <c r="C837" s="318"/>
      <c r="D837" s="318"/>
      <c r="E837" s="318"/>
      <c r="F837" s="318"/>
      <c r="G837" s="318"/>
      <c r="H837" s="318"/>
      <c r="I837" s="318"/>
      <c r="J837" s="318"/>
      <c r="K837" s="318"/>
      <c r="L837" s="318"/>
      <c r="M837" s="318"/>
    </row>
    <row r="838" spans="2:13">
      <c r="B838" s="515"/>
      <c r="C838" s="318"/>
      <c r="D838" s="318"/>
      <c r="E838" s="318"/>
      <c r="F838" s="318"/>
      <c r="G838" s="318"/>
      <c r="H838" s="318"/>
      <c r="I838" s="318"/>
      <c r="J838" s="318"/>
      <c r="K838" s="318"/>
      <c r="L838" s="318"/>
      <c r="M838" s="318"/>
    </row>
    <row r="839" spans="2:13">
      <c r="B839" s="515"/>
      <c r="C839" s="318"/>
      <c r="D839" s="318"/>
      <c r="E839" s="318"/>
      <c r="F839" s="318"/>
      <c r="G839" s="318"/>
      <c r="H839" s="318"/>
      <c r="I839" s="318"/>
      <c r="J839" s="318"/>
      <c r="K839" s="318"/>
      <c r="L839" s="318"/>
      <c r="M839" s="318"/>
    </row>
    <row r="840" spans="2:13">
      <c r="B840" s="515"/>
      <c r="C840" s="318"/>
      <c r="D840" s="318"/>
      <c r="E840" s="318"/>
      <c r="F840" s="318"/>
      <c r="G840" s="318"/>
      <c r="H840" s="318"/>
      <c r="I840" s="318"/>
      <c r="J840" s="318"/>
      <c r="K840" s="318"/>
      <c r="L840" s="318"/>
      <c r="M840" s="318"/>
    </row>
    <row r="841" spans="2:13">
      <c r="B841" s="515"/>
      <c r="C841" s="318"/>
      <c r="D841" s="318"/>
      <c r="E841" s="318"/>
      <c r="F841" s="318"/>
      <c r="G841" s="318"/>
      <c r="H841" s="318"/>
      <c r="I841" s="318"/>
      <c r="J841" s="318"/>
      <c r="K841" s="318"/>
      <c r="L841" s="318"/>
      <c r="M841" s="318"/>
    </row>
    <row r="842" spans="2:13">
      <c r="B842" s="515"/>
      <c r="C842" s="318"/>
      <c r="D842" s="318"/>
      <c r="E842" s="318"/>
      <c r="F842" s="318"/>
      <c r="G842" s="318"/>
      <c r="H842" s="318"/>
      <c r="I842" s="318"/>
      <c r="J842" s="318"/>
      <c r="K842" s="318"/>
      <c r="L842" s="318"/>
      <c r="M842" s="318"/>
    </row>
    <row r="843" spans="2:13">
      <c r="B843" s="515"/>
      <c r="C843" s="318"/>
      <c r="D843" s="318"/>
      <c r="E843" s="318"/>
      <c r="F843" s="318"/>
      <c r="G843" s="318"/>
      <c r="H843" s="318"/>
      <c r="I843" s="318"/>
      <c r="J843" s="318"/>
      <c r="K843" s="318"/>
      <c r="L843" s="318"/>
      <c r="M843" s="318"/>
    </row>
    <row r="844" spans="2:13">
      <c r="B844" s="515"/>
      <c r="C844" s="318"/>
      <c r="D844" s="318"/>
      <c r="E844" s="318"/>
      <c r="F844" s="318"/>
      <c r="G844" s="318"/>
      <c r="H844" s="318"/>
      <c r="I844" s="318"/>
      <c r="J844" s="318"/>
      <c r="K844" s="318"/>
      <c r="L844" s="318"/>
      <c r="M844" s="318"/>
    </row>
    <row r="845" spans="2:13">
      <c r="B845" s="515"/>
      <c r="C845" s="318"/>
      <c r="D845" s="318"/>
      <c r="E845" s="318"/>
      <c r="F845" s="318"/>
      <c r="G845" s="318"/>
      <c r="H845" s="318"/>
      <c r="I845" s="318"/>
      <c r="J845" s="318"/>
      <c r="K845" s="318"/>
      <c r="L845" s="318"/>
      <c r="M845" s="318"/>
    </row>
    <row r="846" spans="2:13">
      <c r="B846" s="515"/>
      <c r="C846" s="318"/>
      <c r="D846" s="318"/>
      <c r="E846" s="318"/>
      <c r="F846" s="318"/>
      <c r="G846" s="318"/>
      <c r="H846" s="318"/>
      <c r="I846" s="318"/>
      <c r="J846" s="318"/>
      <c r="K846" s="318"/>
      <c r="L846" s="318"/>
      <c r="M846" s="318"/>
    </row>
    <row r="847" spans="2:13">
      <c r="B847" s="515"/>
      <c r="C847" s="318"/>
      <c r="D847" s="318"/>
      <c r="E847" s="318"/>
      <c r="F847" s="318"/>
      <c r="G847" s="318"/>
      <c r="H847" s="318"/>
      <c r="I847" s="318"/>
      <c r="J847" s="318"/>
      <c r="K847" s="318"/>
      <c r="L847" s="318"/>
      <c r="M847" s="318"/>
    </row>
    <row r="848" spans="2:13">
      <c r="B848" s="515"/>
      <c r="C848" s="318"/>
      <c r="D848" s="318"/>
      <c r="E848" s="318"/>
      <c r="F848" s="318"/>
      <c r="G848" s="318"/>
      <c r="H848" s="318"/>
      <c r="I848" s="318"/>
      <c r="J848" s="318"/>
      <c r="K848" s="318"/>
      <c r="L848" s="318"/>
      <c r="M848" s="318"/>
    </row>
    <row r="849" spans="2:13">
      <c r="B849" s="515"/>
      <c r="C849" s="318"/>
      <c r="D849" s="318"/>
      <c r="E849" s="318"/>
      <c r="F849" s="318"/>
      <c r="G849" s="318"/>
      <c r="H849" s="318"/>
      <c r="I849" s="318"/>
      <c r="J849" s="318"/>
      <c r="K849" s="318"/>
      <c r="L849" s="318"/>
      <c r="M849" s="318"/>
    </row>
    <row r="850" spans="2:13">
      <c r="B850" s="515"/>
      <c r="C850" s="318"/>
      <c r="D850" s="318"/>
      <c r="E850" s="318"/>
      <c r="F850" s="318"/>
      <c r="G850" s="318"/>
      <c r="H850" s="318"/>
      <c r="I850" s="318"/>
      <c r="J850" s="318"/>
      <c r="K850" s="318"/>
      <c r="L850" s="318"/>
      <c r="M850" s="318"/>
    </row>
    <row r="851" spans="2:13">
      <c r="B851" s="515"/>
      <c r="C851" s="318"/>
      <c r="D851" s="318"/>
      <c r="E851" s="318"/>
      <c r="F851" s="318"/>
      <c r="G851" s="318"/>
      <c r="H851" s="318"/>
      <c r="I851" s="318"/>
      <c r="J851" s="318"/>
      <c r="K851" s="318"/>
      <c r="L851" s="318"/>
      <c r="M851" s="318"/>
    </row>
    <row r="852" spans="2:13">
      <c r="B852" s="515"/>
      <c r="C852" s="318"/>
      <c r="D852" s="318"/>
      <c r="E852" s="318"/>
      <c r="F852" s="318"/>
      <c r="G852" s="318"/>
      <c r="H852" s="318"/>
      <c r="I852" s="318"/>
      <c r="J852" s="318"/>
      <c r="K852" s="318"/>
      <c r="L852" s="318"/>
      <c r="M852" s="318"/>
    </row>
    <row r="853" spans="2:13">
      <c r="B853" s="515"/>
      <c r="C853" s="318"/>
      <c r="D853" s="318"/>
      <c r="E853" s="318"/>
      <c r="F853" s="318"/>
      <c r="G853" s="318"/>
      <c r="H853" s="318"/>
      <c r="I853" s="318"/>
      <c r="J853" s="318"/>
      <c r="K853" s="318"/>
      <c r="L853" s="318"/>
      <c r="M853" s="318"/>
    </row>
    <row r="854" spans="2:13">
      <c r="B854" s="515"/>
      <c r="C854" s="318"/>
      <c r="D854" s="318"/>
      <c r="E854" s="318"/>
      <c r="F854" s="318"/>
      <c r="G854" s="318"/>
      <c r="H854" s="318"/>
      <c r="I854" s="318"/>
      <c r="J854" s="318"/>
      <c r="K854" s="318"/>
      <c r="L854" s="318"/>
      <c r="M854" s="318"/>
    </row>
    <row r="855" spans="2:13">
      <c r="B855" s="515"/>
      <c r="C855" s="318"/>
      <c r="D855" s="318"/>
      <c r="E855" s="318"/>
      <c r="F855" s="318"/>
      <c r="G855" s="318"/>
      <c r="H855" s="318"/>
      <c r="I855" s="318"/>
      <c r="J855" s="318"/>
      <c r="K855" s="318"/>
      <c r="L855" s="318"/>
      <c r="M855" s="318"/>
    </row>
    <row r="856" spans="2:13">
      <c r="B856" s="515"/>
      <c r="C856" s="318"/>
      <c r="D856" s="318"/>
      <c r="E856" s="318"/>
      <c r="F856" s="318"/>
      <c r="G856" s="318"/>
      <c r="H856" s="318"/>
      <c r="I856" s="318"/>
      <c r="J856" s="318"/>
      <c r="K856" s="318"/>
      <c r="L856" s="318"/>
      <c r="M856" s="318"/>
    </row>
    <row r="857" spans="2:13">
      <c r="B857" s="515"/>
      <c r="C857" s="318"/>
      <c r="D857" s="318"/>
      <c r="E857" s="318"/>
      <c r="F857" s="318"/>
      <c r="G857" s="318"/>
      <c r="H857" s="318"/>
      <c r="I857" s="318"/>
      <c r="J857" s="318"/>
      <c r="K857" s="318"/>
      <c r="L857" s="318"/>
      <c r="M857" s="318"/>
    </row>
    <row r="858" spans="2:13">
      <c r="B858" s="515"/>
      <c r="C858" s="318"/>
      <c r="D858" s="318"/>
      <c r="E858" s="318"/>
      <c r="F858" s="318"/>
      <c r="G858" s="318"/>
      <c r="H858" s="318"/>
      <c r="I858" s="318"/>
      <c r="J858" s="318"/>
      <c r="K858" s="318"/>
      <c r="L858" s="318"/>
      <c r="M858" s="318"/>
    </row>
    <row r="859" spans="2:13">
      <c r="B859" s="515"/>
      <c r="C859" s="318"/>
      <c r="D859" s="318"/>
      <c r="E859" s="318"/>
      <c r="F859" s="318"/>
      <c r="G859" s="318"/>
      <c r="H859" s="318"/>
      <c r="I859" s="318"/>
      <c r="J859" s="318"/>
      <c r="K859" s="318"/>
      <c r="L859" s="318"/>
      <c r="M859" s="318"/>
    </row>
    <row r="860" spans="2:13">
      <c r="B860" s="515"/>
      <c r="C860" s="318"/>
      <c r="D860" s="318"/>
      <c r="E860" s="318"/>
      <c r="F860" s="318"/>
      <c r="G860" s="318"/>
      <c r="H860" s="318"/>
      <c r="I860" s="318"/>
      <c r="J860" s="318"/>
      <c r="K860" s="318"/>
      <c r="L860" s="318"/>
      <c r="M860" s="318"/>
    </row>
    <row r="861" spans="2:13">
      <c r="B861" s="515"/>
      <c r="C861" s="318"/>
      <c r="D861" s="318"/>
      <c r="E861" s="318"/>
      <c r="F861" s="318"/>
      <c r="G861" s="318"/>
      <c r="H861" s="318"/>
      <c r="I861" s="318"/>
      <c r="J861" s="318"/>
      <c r="K861" s="318"/>
      <c r="L861" s="318"/>
      <c r="M861" s="318"/>
    </row>
    <row r="862" spans="2:13">
      <c r="B862" s="515"/>
      <c r="C862" s="318"/>
      <c r="D862" s="318"/>
      <c r="E862" s="318"/>
      <c r="F862" s="318"/>
      <c r="G862" s="318"/>
      <c r="H862" s="318"/>
      <c r="I862" s="318"/>
      <c r="J862" s="318"/>
      <c r="K862" s="318"/>
      <c r="L862" s="318"/>
      <c r="M862" s="318"/>
    </row>
    <row r="863" spans="2:13">
      <c r="B863" s="515"/>
      <c r="C863" s="318"/>
      <c r="D863" s="318"/>
      <c r="E863" s="318"/>
      <c r="F863" s="318"/>
      <c r="G863" s="318"/>
      <c r="H863" s="318"/>
      <c r="I863" s="318"/>
      <c r="J863" s="318"/>
      <c r="K863" s="318"/>
      <c r="L863" s="318"/>
      <c r="M863" s="318"/>
    </row>
    <row r="864" spans="2:13">
      <c r="B864" s="515"/>
      <c r="C864" s="318"/>
      <c r="D864" s="318"/>
      <c r="E864" s="318"/>
      <c r="F864" s="318"/>
      <c r="G864" s="318"/>
      <c r="H864" s="318"/>
      <c r="I864" s="318"/>
      <c r="J864" s="318"/>
      <c r="K864" s="318"/>
      <c r="L864" s="318"/>
      <c r="M864" s="318"/>
    </row>
    <row r="865" spans="2:13">
      <c r="B865" s="515"/>
      <c r="C865" s="318"/>
      <c r="D865" s="318"/>
      <c r="E865" s="318"/>
      <c r="F865" s="318"/>
      <c r="G865" s="318"/>
      <c r="H865" s="318"/>
      <c r="I865" s="318"/>
      <c r="J865" s="318"/>
      <c r="K865" s="318"/>
      <c r="L865" s="318"/>
      <c r="M865" s="318"/>
    </row>
    <row r="866" spans="2:13">
      <c r="B866" s="515"/>
      <c r="C866" s="318"/>
      <c r="D866" s="318"/>
      <c r="E866" s="318"/>
      <c r="F866" s="318"/>
      <c r="G866" s="318"/>
      <c r="H866" s="318"/>
      <c r="I866" s="318"/>
      <c r="J866" s="318"/>
      <c r="K866" s="318"/>
      <c r="L866" s="318"/>
      <c r="M866" s="318"/>
    </row>
    <row r="867" spans="2:13">
      <c r="B867" s="515"/>
      <c r="C867" s="318"/>
      <c r="D867" s="318"/>
      <c r="E867" s="318"/>
      <c r="F867" s="318"/>
      <c r="G867" s="318"/>
      <c r="H867" s="318"/>
      <c r="I867" s="318"/>
      <c r="J867" s="318"/>
      <c r="K867" s="318"/>
      <c r="L867" s="318"/>
      <c r="M867" s="318"/>
    </row>
    <row r="868" spans="2:13">
      <c r="B868" s="515"/>
      <c r="C868" s="318"/>
      <c r="D868" s="318"/>
      <c r="E868" s="318"/>
      <c r="F868" s="318"/>
      <c r="G868" s="318"/>
      <c r="H868" s="318"/>
      <c r="I868" s="318"/>
      <c r="J868" s="318"/>
      <c r="K868" s="318"/>
      <c r="L868" s="318"/>
      <c r="M868" s="318"/>
    </row>
    <row r="869" spans="2:13">
      <c r="B869" s="515"/>
      <c r="C869" s="318"/>
      <c r="D869" s="318"/>
      <c r="E869" s="318"/>
      <c r="F869" s="318"/>
      <c r="G869" s="318"/>
      <c r="H869" s="318"/>
      <c r="I869" s="318"/>
      <c r="J869" s="318"/>
      <c r="K869" s="318"/>
      <c r="L869" s="318"/>
      <c r="M869" s="318"/>
    </row>
    <row r="870" spans="2:13">
      <c r="B870" s="515"/>
      <c r="C870" s="318"/>
      <c r="D870" s="318"/>
      <c r="E870" s="318"/>
      <c r="F870" s="318"/>
      <c r="G870" s="318"/>
      <c r="H870" s="318"/>
      <c r="I870" s="318"/>
      <c r="J870" s="318"/>
      <c r="K870" s="318"/>
      <c r="L870" s="318"/>
      <c r="M870" s="318"/>
    </row>
    <row r="871" spans="2:13">
      <c r="B871" s="515"/>
      <c r="C871" s="318"/>
      <c r="D871" s="318"/>
      <c r="E871" s="318"/>
      <c r="F871" s="318"/>
      <c r="G871" s="318"/>
      <c r="H871" s="318"/>
      <c r="I871" s="318"/>
      <c r="J871" s="318"/>
      <c r="K871" s="318"/>
      <c r="L871" s="318"/>
      <c r="M871" s="318"/>
    </row>
    <row r="872" spans="2:13">
      <c r="B872" s="515"/>
      <c r="C872" s="318"/>
      <c r="D872" s="318"/>
      <c r="E872" s="318"/>
      <c r="F872" s="318"/>
      <c r="G872" s="318"/>
      <c r="H872" s="318"/>
      <c r="I872" s="318"/>
      <c r="J872" s="318"/>
      <c r="K872" s="318"/>
      <c r="L872" s="318"/>
      <c r="M872" s="318"/>
    </row>
    <row r="873" spans="2:13">
      <c r="B873" s="515"/>
      <c r="C873" s="318"/>
      <c r="D873" s="318"/>
      <c r="E873" s="318"/>
      <c r="F873" s="318"/>
      <c r="G873" s="318"/>
      <c r="H873" s="318"/>
      <c r="I873" s="318"/>
      <c r="J873" s="318"/>
      <c r="K873" s="318"/>
      <c r="L873" s="318"/>
      <c r="M873" s="318"/>
    </row>
    <row r="874" spans="2:13">
      <c r="B874" s="515"/>
      <c r="C874" s="318"/>
      <c r="D874" s="318"/>
      <c r="E874" s="318"/>
      <c r="F874" s="318"/>
      <c r="G874" s="318"/>
      <c r="H874" s="318"/>
      <c r="I874" s="318"/>
      <c r="J874" s="318"/>
      <c r="K874" s="318"/>
      <c r="L874" s="318"/>
      <c r="M874" s="318"/>
    </row>
    <row r="875" spans="2:13">
      <c r="B875" s="515"/>
      <c r="C875" s="318"/>
      <c r="D875" s="318"/>
      <c r="E875" s="318"/>
      <c r="F875" s="318"/>
      <c r="G875" s="318"/>
      <c r="H875" s="318"/>
      <c r="I875" s="318"/>
      <c r="J875" s="318"/>
      <c r="K875" s="318"/>
      <c r="L875" s="318"/>
      <c r="M875" s="318"/>
    </row>
    <row r="876" spans="2:13">
      <c r="B876" s="515"/>
      <c r="C876" s="318"/>
      <c r="D876" s="318"/>
      <c r="E876" s="318"/>
      <c r="F876" s="318"/>
      <c r="G876" s="318"/>
      <c r="H876" s="318"/>
      <c r="I876" s="318"/>
      <c r="J876" s="318"/>
      <c r="K876" s="318"/>
      <c r="L876" s="318"/>
      <c r="M876" s="318"/>
    </row>
    <row r="877" spans="2:13">
      <c r="B877" s="515"/>
      <c r="C877" s="318"/>
      <c r="D877" s="318"/>
      <c r="E877" s="318"/>
      <c r="F877" s="318"/>
      <c r="G877" s="318"/>
      <c r="H877" s="318"/>
      <c r="I877" s="318"/>
      <c r="J877" s="318"/>
      <c r="K877" s="318"/>
      <c r="L877" s="318"/>
      <c r="M877" s="318"/>
    </row>
    <row r="878" spans="2:13">
      <c r="B878" s="515"/>
      <c r="C878" s="318"/>
      <c r="D878" s="318"/>
      <c r="E878" s="318"/>
      <c r="F878" s="318"/>
      <c r="G878" s="318"/>
      <c r="H878" s="318"/>
      <c r="I878" s="318"/>
      <c r="J878" s="318"/>
      <c r="K878" s="318"/>
      <c r="L878" s="318"/>
      <c r="M878" s="318"/>
    </row>
    <row r="879" spans="2:13">
      <c r="B879" s="515"/>
      <c r="C879" s="318"/>
      <c r="D879" s="318"/>
      <c r="E879" s="318"/>
      <c r="F879" s="318"/>
      <c r="G879" s="318"/>
      <c r="H879" s="318"/>
      <c r="I879" s="318"/>
      <c r="J879" s="318"/>
      <c r="K879" s="318"/>
      <c r="L879" s="318"/>
      <c r="M879" s="318"/>
    </row>
    <row r="880" spans="2:13">
      <c r="B880" s="515"/>
      <c r="C880" s="318"/>
      <c r="D880" s="318"/>
      <c r="E880" s="318"/>
      <c r="F880" s="318"/>
      <c r="G880" s="318"/>
      <c r="H880" s="318"/>
      <c r="I880" s="318"/>
      <c r="J880" s="318"/>
      <c r="K880" s="318"/>
      <c r="L880" s="318"/>
      <c r="M880" s="318"/>
    </row>
    <row r="881" spans="2:13">
      <c r="B881" s="515"/>
      <c r="C881" s="318"/>
      <c r="D881" s="318"/>
      <c r="E881" s="318"/>
      <c r="F881" s="318"/>
      <c r="G881" s="318"/>
      <c r="H881" s="318"/>
      <c r="I881" s="318"/>
      <c r="J881" s="318"/>
      <c r="K881" s="318"/>
      <c r="L881" s="318"/>
      <c r="M881" s="318"/>
    </row>
    <row r="882" spans="2:13">
      <c r="B882" s="515"/>
      <c r="C882" s="318"/>
      <c r="D882" s="318"/>
      <c r="E882" s="318"/>
      <c r="F882" s="318"/>
      <c r="G882" s="318"/>
      <c r="H882" s="318"/>
      <c r="I882" s="318"/>
      <c r="J882" s="318"/>
      <c r="K882" s="318"/>
      <c r="L882" s="318"/>
      <c r="M882" s="318"/>
    </row>
    <row r="883" spans="2:13">
      <c r="B883" s="515"/>
      <c r="C883" s="318"/>
      <c r="D883" s="318"/>
      <c r="E883" s="318"/>
      <c r="F883" s="318"/>
      <c r="G883" s="318"/>
      <c r="H883" s="318"/>
      <c r="I883" s="318"/>
      <c r="J883" s="318"/>
      <c r="K883" s="318"/>
      <c r="L883" s="318"/>
      <c r="M883" s="318"/>
    </row>
    <row r="884" spans="2:13">
      <c r="B884" s="515"/>
      <c r="C884" s="318"/>
      <c r="D884" s="318"/>
      <c r="E884" s="318"/>
      <c r="F884" s="318"/>
      <c r="G884" s="318"/>
      <c r="H884" s="318"/>
      <c r="I884" s="318"/>
      <c r="J884" s="318"/>
      <c r="K884" s="318"/>
      <c r="L884" s="318"/>
      <c r="M884" s="318"/>
    </row>
    <row r="885" spans="2:13">
      <c r="B885" s="515"/>
      <c r="C885" s="318"/>
      <c r="D885" s="318"/>
      <c r="E885" s="318"/>
      <c r="F885" s="318"/>
      <c r="G885" s="318"/>
      <c r="H885" s="318"/>
      <c r="I885" s="318"/>
      <c r="J885" s="318"/>
      <c r="K885" s="318"/>
      <c r="L885" s="318"/>
      <c r="M885" s="318"/>
    </row>
    <row r="886" spans="2:13">
      <c r="B886" s="515"/>
      <c r="C886" s="318"/>
      <c r="D886" s="318"/>
      <c r="E886" s="318"/>
      <c r="F886" s="318"/>
      <c r="G886" s="318"/>
      <c r="H886" s="318"/>
      <c r="I886" s="318"/>
      <c r="J886" s="318"/>
      <c r="K886" s="318"/>
      <c r="L886" s="318"/>
      <c r="M886" s="318"/>
    </row>
    <row r="887" spans="2:13">
      <c r="B887" s="515"/>
      <c r="C887" s="318"/>
      <c r="D887" s="318"/>
      <c r="E887" s="318"/>
      <c r="F887" s="318"/>
      <c r="G887" s="318"/>
      <c r="H887" s="318"/>
      <c r="I887" s="318"/>
      <c r="J887" s="318"/>
      <c r="K887" s="318"/>
      <c r="L887" s="318"/>
      <c r="M887" s="318"/>
    </row>
    <row r="888" spans="2:13">
      <c r="B888" s="515"/>
      <c r="C888" s="318"/>
      <c r="D888" s="318"/>
      <c r="E888" s="318"/>
      <c r="F888" s="318"/>
      <c r="G888" s="318"/>
      <c r="H888" s="318"/>
      <c r="I888" s="318"/>
      <c r="J888" s="318"/>
      <c r="K888" s="318"/>
      <c r="L888" s="318"/>
      <c r="M888" s="318"/>
    </row>
    <row r="889" spans="2:13">
      <c r="B889" s="515"/>
      <c r="C889" s="318"/>
      <c r="D889" s="318"/>
      <c r="E889" s="318"/>
      <c r="F889" s="318"/>
      <c r="G889" s="318"/>
      <c r="H889" s="318"/>
      <c r="I889" s="318"/>
      <c r="J889" s="318"/>
      <c r="K889" s="318"/>
      <c r="L889" s="318"/>
      <c r="M889" s="318"/>
    </row>
    <row r="890" spans="2:13">
      <c r="B890" s="515"/>
      <c r="C890" s="318"/>
      <c r="D890" s="318"/>
      <c r="E890" s="318"/>
      <c r="F890" s="318"/>
      <c r="G890" s="318"/>
      <c r="H890" s="318"/>
      <c r="I890" s="318"/>
      <c r="J890" s="318"/>
      <c r="K890" s="318"/>
      <c r="L890" s="318"/>
      <c r="M890" s="318"/>
    </row>
    <row r="891" spans="2:13">
      <c r="B891" s="515"/>
      <c r="C891" s="318"/>
      <c r="D891" s="318"/>
      <c r="E891" s="318"/>
      <c r="F891" s="318"/>
      <c r="G891" s="318"/>
      <c r="H891" s="318"/>
      <c r="I891" s="318"/>
      <c r="J891" s="318"/>
      <c r="K891" s="318"/>
      <c r="L891" s="318"/>
      <c r="M891" s="318"/>
    </row>
    <row r="892" spans="2:13">
      <c r="B892" s="515"/>
      <c r="C892" s="318"/>
      <c r="D892" s="318"/>
      <c r="E892" s="318"/>
      <c r="F892" s="318"/>
      <c r="G892" s="318"/>
      <c r="H892" s="318"/>
      <c r="I892" s="318"/>
      <c r="J892" s="318"/>
      <c r="K892" s="318"/>
      <c r="L892" s="318"/>
      <c r="M892" s="318"/>
    </row>
    <row r="893" spans="2:13">
      <c r="B893" s="515"/>
      <c r="C893" s="318"/>
      <c r="D893" s="318"/>
      <c r="E893" s="318"/>
      <c r="F893" s="318"/>
      <c r="G893" s="318"/>
      <c r="H893" s="318"/>
      <c r="I893" s="318"/>
      <c r="J893" s="318"/>
      <c r="K893" s="318"/>
      <c r="L893" s="318"/>
      <c r="M893" s="318"/>
    </row>
    <row r="894" spans="2:13">
      <c r="B894" s="515"/>
      <c r="C894" s="318"/>
      <c r="D894" s="318"/>
      <c r="E894" s="318"/>
      <c r="F894" s="318"/>
      <c r="G894" s="318"/>
      <c r="H894" s="318"/>
      <c r="I894" s="318"/>
      <c r="J894" s="318"/>
      <c r="K894" s="318"/>
      <c r="L894" s="318"/>
      <c r="M894" s="318"/>
    </row>
    <row r="895" spans="2:13">
      <c r="B895" s="515"/>
      <c r="C895" s="318"/>
      <c r="D895" s="318"/>
      <c r="E895" s="318"/>
      <c r="F895" s="318"/>
      <c r="G895" s="318"/>
      <c r="H895" s="318"/>
      <c r="I895" s="318"/>
      <c r="J895" s="318"/>
      <c r="K895" s="318"/>
      <c r="L895" s="318"/>
      <c r="M895" s="318"/>
    </row>
    <row r="896" spans="2:13">
      <c r="B896" s="515"/>
      <c r="C896" s="318"/>
      <c r="D896" s="318"/>
      <c r="E896" s="318"/>
      <c r="F896" s="318"/>
      <c r="G896" s="318"/>
      <c r="H896" s="318"/>
      <c r="I896" s="318"/>
      <c r="J896" s="318"/>
      <c r="K896" s="318"/>
      <c r="L896" s="318"/>
      <c r="M896" s="318"/>
    </row>
    <row r="897" spans="2:13">
      <c r="B897" s="515"/>
      <c r="C897" s="318"/>
      <c r="D897" s="318"/>
      <c r="E897" s="318"/>
      <c r="F897" s="318"/>
      <c r="G897" s="318"/>
      <c r="H897" s="318"/>
      <c r="I897" s="318"/>
      <c r="J897" s="318"/>
      <c r="K897" s="318"/>
      <c r="L897" s="318"/>
      <c r="M897" s="318"/>
    </row>
    <row r="898" spans="2:13">
      <c r="B898" s="515"/>
      <c r="C898" s="318"/>
      <c r="D898" s="318"/>
      <c r="E898" s="318"/>
      <c r="F898" s="318"/>
      <c r="G898" s="318"/>
      <c r="H898" s="318"/>
      <c r="I898" s="318"/>
      <c r="J898" s="318"/>
      <c r="K898" s="318"/>
      <c r="L898" s="318"/>
      <c r="M898" s="318"/>
    </row>
    <row r="899" spans="2:13">
      <c r="B899" s="515"/>
      <c r="C899" s="318"/>
      <c r="D899" s="318"/>
      <c r="E899" s="318"/>
      <c r="F899" s="318"/>
      <c r="G899" s="318"/>
      <c r="H899" s="318"/>
      <c r="I899" s="318"/>
      <c r="J899" s="318"/>
      <c r="K899" s="318"/>
      <c r="L899" s="318"/>
      <c r="M899" s="318"/>
    </row>
    <row r="900" spans="2:13">
      <c r="B900" s="515"/>
      <c r="C900" s="318"/>
      <c r="D900" s="318"/>
      <c r="E900" s="318"/>
      <c r="F900" s="318"/>
      <c r="G900" s="318"/>
      <c r="H900" s="318"/>
      <c r="I900" s="318"/>
      <c r="J900" s="318"/>
      <c r="K900" s="318"/>
      <c r="L900" s="318"/>
      <c r="M900" s="318"/>
    </row>
    <row r="901" spans="2:13">
      <c r="B901" s="515"/>
      <c r="C901" s="318"/>
      <c r="D901" s="318"/>
      <c r="E901" s="318"/>
      <c r="F901" s="318"/>
      <c r="G901" s="318"/>
      <c r="H901" s="318"/>
      <c r="I901" s="318"/>
      <c r="J901" s="318"/>
      <c r="K901" s="318"/>
      <c r="L901" s="318"/>
      <c r="M901" s="318"/>
    </row>
    <row r="902" spans="2:13">
      <c r="B902" s="515"/>
      <c r="C902" s="318"/>
      <c r="D902" s="318"/>
      <c r="E902" s="318"/>
      <c r="F902" s="318"/>
      <c r="G902" s="318"/>
      <c r="H902" s="318"/>
      <c r="I902" s="318"/>
      <c r="J902" s="318"/>
      <c r="K902" s="318"/>
      <c r="L902" s="318"/>
      <c r="M902" s="318"/>
    </row>
    <row r="903" spans="2:13">
      <c r="B903" s="515"/>
      <c r="C903" s="318"/>
      <c r="D903" s="318"/>
      <c r="E903" s="318"/>
      <c r="F903" s="318"/>
      <c r="G903" s="318"/>
      <c r="H903" s="318"/>
      <c r="I903" s="318"/>
      <c r="J903" s="318"/>
      <c r="K903" s="318"/>
      <c r="L903" s="318"/>
      <c r="M903" s="318"/>
    </row>
    <row r="904" spans="2:13">
      <c r="B904" s="515"/>
      <c r="C904" s="318"/>
      <c r="D904" s="318"/>
      <c r="E904" s="318"/>
      <c r="F904" s="318"/>
      <c r="G904" s="318"/>
      <c r="H904" s="318"/>
      <c r="I904" s="318"/>
      <c r="J904" s="318"/>
      <c r="K904" s="318"/>
      <c r="L904" s="318"/>
      <c r="M904" s="318"/>
    </row>
    <row r="905" spans="2:13">
      <c r="B905" s="515"/>
      <c r="C905" s="318"/>
      <c r="D905" s="318"/>
      <c r="E905" s="318"/>
      <c r="F905" s="318"/>
      <c r="G905" s="318"/>
      <c r="H905" s="318"/>
      <c r="I905" s="318"/>
      <c r="J905" s="318"/>
      <c r="K905" s="318"/>
      <c r="L905" s="318"/>
      <c r="M905" s="318"/>
    </row>
    <row r="906" spans="2:13">
      <c r="B906" s="515"/>
      <c r="C906" s="318"/>
      <c r="D906" s="318"/>
      <c r="E906" s="318"/>
      <c r="F906" s="318"/>
      <c r="G906" s="318"/>
      <c r="H906" s="318"/>
      <c r="I906" s="318"/>
      <c r="J906" s="318"/>
      <c r="K906" s="318"/>
      <c r="L906" s="318"/>
      <c r="M906" s="318"/>
    </row>
    <row r="907" spans="2:13">
      <c r="B907" s="515"/>
      <c r="C907" s="318"/>
      <c r="D907" s="318"/>
      <c r="E907" s="318"/>
      <c r="F907" s="318"/>
      <c r="G907" s="318"/>
      <c r="H907" s="318"/>
      <c r="I907" s="318"/>
      <c r="J907" s="318"/>
      <c r="K907" s="318"/>
      <c r="L907" s="318"/>
      <c r="M907" s="318"/>
    </row>
    <row r="908" spans="2:13">
      <c r="B908" s="515"/>
      <c r="C908" s="318"/>
      <c r="D908" s="318"/>
      <c r="E908" s="318"/>
      <c r="F908" s="318"/>
      <c r="G908" s="318"/>
      <c r="H908" s="318"/>
      <c r="I908" s="318"/>
      <c r="J908" s="318"/>
      <c r="K908" s="318"/>
      <c r="L908" s="318"/>
      <c r="M908" s="318"/>
    </row>
    <row r="909" spans="2:13">
      <c r="B909" s="515"/>
      <c r="C909" s="318"/>
      <c r="D909" s="318"/>
      <c r="E909" s="318"/>
      <c r="F909" s="318"/>
      <c r="G909" s="318"/>
      <c r="H909" s="318"/>
      <c r="I909" s="318"/>
      <c r="J909" s="318"/>
      <c r="K909" s="318"/>
      <c r="L909" s="318"/>
      <c r="M909" s="318"/>
    </row>
    <row r="910" spans="2:13">
      <c r="B910" s="515"/>
      <c r="C910" s="318"/>
      <c r="D910" s="318"/>
      <c r="E910" s="318"/>
      <c r="F910" s="318"/>
      <c r="G910" s="318"/>
      <c r="H910" s="318"/>
      <c r="I910" s="318"/>
      <c r="J910" s="318"/>
      <c r="K910" s="318"/>
      <c r="L910" s="318"/>
      <c r="M910" s="318"/>
    </row>
    <row r="911" spans="2:13">
      <c r="B911" s="515"/>
      <c r="C911" s="318"/>
      <c r="D911" s="318"/>
      <c r="E911" s="318"/>
      <c r="F911" s="318"/>
      <c r="G911" s="318"/>
      <c r="H911" s="318"/>
      <c r="I911" s="318"/>
      <c r="J911" s="318"/>
      <c r="K911" s="318"/>
      <c r="L911" s="318"/>
      <c r="M911" s="318"/>
    </row>
    <row r="912" spans="2:13">
      <c r="B912" s="515"/>
      <c r="C912" s="318"/>
      <c r="D912" s="318"/>
      <c r="E912" s="318"/>
      <c r="F912" s="318"/>
      <c r="G912" s="318"/>
      <c r="H912" s="318"/>
      <c r="I912" s="318"/>
      <c r="J912" s="318"/>
      <c r="K912" s="318"/>
      <c r="L912" s="318"/>
      <c r="M912" s="318"/>
    </row>
    <row r="913" spans="2:13">
      <c r="B913" s="515"/>
      <c r="C913" s="318"/>
      <c r="D913" s="318"/>
      <c r="E913" s="318"/>
      <c r="F913" s="318"/>
      <c r="G913" s="318"/>
      <c r="H913" s="318"/>
      <c r="I913" s="318"/>
      <c r="J913" s="318"/>
      <c r="K913" s="318"/>
      <c r="L913" s="318"/>
      <c r="M913" s="318"/>
    </row>
    <row r="914" spans="2:13">
      <c r="B914" s="515"/>
      <c r="C914" s="318"/>
      <c r="D914" s="318"/>
      <c r="E914" s="318"/>
      <c r="F914" s="318"/>
      <c r="G914" s="318"/>
      <c r="H914" s="318"/>
      <c r="I914" s="318"/>
      <c r="J914" s="318"/>
      <c r="K914" s="318"/>
      <c r="L914" s="318"/>
      <c r="M914" s="318"/>
    </row>
    <row r="915" spans="2:13">
      <c r="B915" s="515"/>
      <c r="C915" s="318"/>
      <c r="D915" s="318"/>
      <c r="E915" s="318"/>
      <c r="F915" s="318"/>
      <c r="G915" s="318"/>
      <c r="H915" s="318"/>
      <c r="I915" s="318"/>
      <c r="J915" s="318"/>
      <c r="K915" s="318"/>
      <c r="L915" s="318"/>
      <c r="M915" s="318"/>
    </row>
    <row r="916" spans="2:13">
      <c r="B916" s="515"/>
      <c r="C916" s="318"/>
      <c r="D916" s="318"/>
      <c r="E916" s="318"/>
      <c r="F916" s="318"/>
      <c r="G916" s="318"/>
      <c r="H916" s="318"/>
      <c r="I916" s="318"/>
      <c r="J916" s="318"/>
      <c r="K916" s="318"/>
      <c r="L916" s="318"/>
      <c r="M916" s="318"/>
    </row>
    <row r="917" spans="2:13">
      <c r="B917" s="515"/>
      <c r="C917" s="318"/>
      <c r="D917" s="318"/>
      <c r="E917" s="318"/>
      <c r="F917" s="318"/>
      <c r="G917" s="318"/>
      <c r="H917" s="318"/>
      <c r="I917" s="318"/>
      <c r="J917" s="318"/>
      <c r="K917" s="318"/>
      <c r="L917" s="318"/>
      <c r="M917" s="318"/>
    </row>
    <row r="918" spans="2:13">
      <c r="B918" s="515"/>
      <c r="C918" s="318"/>
      <c r="D918" s="318"/>
      <c r="E918" s="318"/>
      <c r="F918" s="318"/>
      <c r="G918" s="318"/>
      <c r="H918" s="318"/>
      <c r="I918" s="318"/>
      <c r="J918" s="318"/>
      <c r="K918" s="318"/>
      <c r="L918" s="318"/>
      <c r="M918" s="318"/>
    </row>
    <row r="919" spans="2:13">
      <c r="B919" s="515"/>
      <c r="C919" s="318"/>
      <c r="D919" s="318"/>
      <c r="E919" s="318"/>
      <c r="F919" s="318"/>
      <c r="G919" s="318"/>
      <c r="H919" s="318"/>
      <c r="I919" s="318"/>
      <c r="J919" s="318"/>
      <c r="K919" s="318"/>
      <c r="L919" s="318"/>
      <c r="M919" s="318"/>
    </row>
    <row r="920" spans="2:13">
      <c r="B920" s="515"/>
      <c r="C920" s="318"/>
      <c r="D920" s="318"/>
      <c r="E920" s="318"/>
      <c r="F920" s="318"/>
      <c r="G920" s="318"/>
      <c r="H920" s="318"/>
      <c r="I920" s="318"/>
      <c r="J920" s="318"/>
      <c r="K920" s="318"/>
      <c r="L920" s="318"/>
      <c r="M920" s="318"/>
    </row>
    <row r="921" spans="2:13">
      <c r="B921" s="515"/>
      <c r="C921" s="318"/>
      <c r="D921" s="318"/>
      <c r="E921" s="318"/>
      <c r="F921" s="318"/>
      <c r="G921" s="318"/>
      <c r="H921" s="318"/>
      <c r="I921" s="318"/>
      <c r="J921" s="318"/>
      <c r="K921" s="318"/>
      <c r="L921" s="318"/>
      <c r="M921" s="318"/>
    </row>
    <row r="922" spans="2:13">
      <c r="B922" s="515"/>
      <c r="C922" s="318"/>
      <c r="D922" s="318"/>
      <c r="E922" s="318"/>
      <c r="F922" s="318"/>
      <c r="G922" s="318"/>
      <c r="H922" s="318"/>
      <c r="I922" s="318"/>
      <c r="J922" s="318"/>
      <c r="K922" s="318"/>
      <c r="L922" s="318"/>
      <c r="M922" s="318"/>
    </row>
    <row r="923" spans="2:13">
      <c r="B923" s="515"/>
      <c r="C923" s="318"/>
      <c r="D923" s="318"/>
      <c r="E923" s="318"/>
      <c r="F923" s="318"/>
      <c r="G923" s="318"/>
      <c r="H923" s="318"/>
      <c r="I923" s="318"/>
      <c r="J923" s="318"/>
      <c r="K923" s="318"/>
      <c r="L923" s="318"/>
      <c r="M923" s="318"/>
    </row>
    <row r="924" spans="2:13">
      <c r="B924" s="515"/>
      <c r="C924" s="318"/>
      <c r="D924" s="318"/>
      <c r="E924" s="318"/>
      <c r="F924" s="318"/>
      <c r="G924" s="318"/>
      <c r="H924" s="318"/>
      <c r="I924" s="318"/>
      <c r="J924" s="318"/>
      <c r="K924" s="318"/>
      <c r="L924" s="318"/>
      <c r="M924" s="318"/>
    </row>
    <row r="925" spans="2:13">
      <c r="B925" s="515"/>
      <c r="C925" s="318"/>
      <c r="D925" s="318"/>
      <c r="E925" s="318"/>
      <c r="F925" s="318"/>
      <c r="G925" s="318"/>
      <c r="H925" s="318"/>
      <c r="I925" s="318"/>
      <c r="J925" s="318"/>
      <c r="K925" s="318"/>
      <c r="L925" s="318"/>
      <c r="M925" s="318"/>
    </row>
    <row r="926" spans="2:13">
      <c r="B926" s="515"/>
      <c r="C926" s="318"/>
      <c r="D926" s="318"/>
      <c r="E926" s="318"/>
      <c r="F926" s="318"/>
      <c r="G926" s="318"/>
      <c r="H926" s="318"/>
      <c r="I926" s="318"/>
      <c r="J926" s="318"/>
      <c r="K926" s="318"/>
      <c r="L926" s="318"/>
      <c r="M926" s="318"/>
    </row>
    <row r="927" spans="2:13">
      <c r="B927" s="515"/>
      <c r="C927" s="318"/>
      <c r="D927" s="318"/>
      <c r="E927" s="318"/>
      <c r="F927" s="318"/>
      <c r="G927" s="318"/>
      <c r="H927" s="318"/>
      <c r="I927" s="318"/>
      <c r="J927" s="318"/>
      <c r="K927" s="318"/>
      <c r="L927" s="318"/>
      <c r="M927" s="318"/>
    </row>
    <row r="928" spans="2:13">
      <c r="B928" s="515"/>
      <c r="C928" s="318"/>
      <c r="D928" s="318"/>
      <c r="E928" s="318"/>
      <c r="F928" s="318"/>
      <c r="G928" s="318"/>
      <c r="H928" s="318"/>
      <c r="I928" s="318"/>
      <c r="J928" s="318"/>
      <c r="K928" s="318"/>
      <c r="L928" s="318"/>
      <c r="M928" s="318"/>
    </row>
    <row r="929" spans="2:13">
      <c r="B929" s="515"/>
      <c r="C929" s="318"/>
      <c r="D929" s="318"/>
      <c r="E929" s="318"/>
      <c r="F929" s="318"/>
      <c r="G929" s="318"/>
      <c r="H929" s="318"/>
      <c r="I929" s="318"/>
      <c r="J929" s="318"/>
      <c r="K929" s="318"/>
      <c r="L929" s="318"/>
      <c r="M929" s="318"/>
    </row>
    <row r="930" spans="2:13">
      <c r="B930" s="515"/>
      <c r="C930" s="318"/>
      <c r="D930" s="318"/>
      <c r="E930" s="318"/>
      <c r="F930" s="318"/>
      <c r="G930" s="318"/>
      <c r="H930" s="318"/>
      <c r="I930" s="318"/>
      <c r="J930" s="318"/>
      <c r="K930" s="318"/>
      <c r="L930" s="318"/>
      <c r="M930" s="318"/>
    </row>
    <row r="931" spans="2:13">
      <c r="B931" s="515"/>
      <c r="C931" s="318"/>
      <c r="D931" s="318"/>
      <c r="E931" s="318"/>
      <c r="F931" s="318"/>
      <c r="G931" s="318"/>
      <c r="H931" s="318"/>
      <c r="I931" s="318"/>
      <c r="J931" s="318"/>
      <c r="K931" s="318"/>
      <c r="L931" s="318"/>
      <c r="M931" s="318"/>
    </row>
    <row r="932" spans="2:13">
      <c r="B932" s="515"/>
      <c r="C932" s="318"/>
      <c r="D932" s="318"/>
      <c r="E932" s="318"/>
      <c r="F932" s="318"/>
      <c r="G932" s="318"/>
      <c r="H932" s="318"/>
      <c r="I932" s="318"/>
      <c r="J932" s="318"/>
      <c r="K932" s="318"/>
      <c r="L932" s="318"/>
      <c r="M932" s="318"/>
    </row>
    <row r="933" spans="2:13">
      <c r="B933" s="515"/>
      <c r="C933" s="318"/>
      <c r="D933" s="318"/>
      <c r="E933" s="318"/>
      <c r="F933" s="318"/>
      <c r="G933" s="318"/>
      <c r="H933" s="318"/>
      <c r="I933" s="318"/>
      <c r="J933" s="318"/>
      <c r="K933" s="318"/>
      <c r="L933" s="318"/>
      <c r="M933" s="318"/>
    </row>
    <row r="934" spans="2:13">
      <c r="B934" s="515"/>
      <c r="C934" s="318"/>
      <c r="D934" s="318"/>
      <c r="E934" s="318"/>
      <c r="F934" s="318"/>
      <c r="G934" s="318"/>
      <c r="H934" s="318"/>
      <c r="I934" s="318"/>
      <c r="J934" s="318"/>
      <c r="K934" s="318"/>
      <c r="L934" s="318"/>
      <c r="M934" s="318"/>
    </row>
    <row r="935" spans="2:13">
      <c r="B935" s="515"/>
      <c r="C935" s="318"/>
      <c r="D935" s="318"/>
      <c r="E935" s="318"/>
      <c r="F935" s="318"/>
      <c r="G935" s="318"/>
      <c r="H935" s="318"/>
      <c r="I935" s="318"/>
      <c r="J935" s="318"/>
      <c r="K935" s="318"/>
      <c r="L935" s="318"/>
      <c r="M935" s="318"/>
    </row>
    <row r="936" spans="2:13">
      <c r="B936" s="515"/>
      <c r="C936" s="318"/>
      <c r="D936" s="318"/>
      <c r="E936" s="318"/>
      <c r="F936" s="318"/>
      <c r="G936" s="318"/>
      <c r="H936" s="318"/>
      <c r="I936" s="318"/>
      <c r="J936" s="318"/>
      <c r="K936" s="318"/>
      <c r="L936" s="318"/>
      <c r="M936" s="318"/>
    </row>
    <row r="937" spans="2:13">
      <c r="B937" s="515"/>
      <c r="C937" s="318"/>
      <c r="D937" s="318"/>
      <c r="E937" s="318"/>
      <c r="F937" s="318"/>
      <c r="G937" s="318"/>
      <c r="H937" s="318"/>
      <c r="I937" s="318"/>
      <c r="J937" s="318"/>
      <c r="K937" s="318"/>
      <c r="L937" s="318"/>
      <c r="M937" s="318"/>
    </row>
    <row r="938" spans="2:13">
      <c r="B938" s="515"/>
      <c r="C938" s="318"/>
      <c r="D938" s="318"/>
      <c r="E938" s="318"/>
      <c r="F938" s="318"/>
      <c r="G938" s="318"/>
      <c r="H938" s="318"/>
      <c r="I938" s="318"/>
      <c r="J938" s="318"/>
      <c r="K938" s="318"/>
      <c r="L938" s="318"/>
      <c r="M938" s="318"/>
    </row>
    <row r="939" spans="2:13">
      <c r="B939" s="515"/>
      <c r="C939" s="318"/>
      <c r="D939" s="318"/>
      <c r="E939" s="318"/>
      <c r="F939" s="318"/>
      <c r="G939" s="318"/>
      <c r="H939" s="318"/>
      <c r="I939" s="318"/>
      <c r="J939" s="318"/>
      <c r="K939" s="318"/>
      <c r="L939" s="318"/>
      <c r="M939" s="318"/>
    </row>
    <row r="940" spans="2:13">
      <c r="B940" s="515"/>
      <c r="C940" s="318"/>
      <c r="D940" s="318"/>
      <c r="E940" s="318"/>
      <c r="F940" s="318"/>
      <c r="G940" s="318"/>
      <c r="H940" s="318"/>
      <c r="I940" s="318"/>
      <c r="J940" s="318"/>
      <c r="K940" s="318"/>
      <c r="L940" s="318"/>
      <c r="M940" s="318"/>
    </row>
    <row r="941" spans="2:13">
      <c r="B941" s="515"/>
      <c r="C941" s="318"/>
      <c r="D941" s="318"/>
      <c r="E941" s="318"/>
      <c r="F941" s="318"/>
      <c r="G941" s="318"/>
      <c r="H941" s="318"/>
      <c r="I941" s="318"/>
      <c r="J941" s="318"/>
      <c r="K941" s="318"/>
      <c r="L941" s="318"/>
      <c r="M941" s="318"/>
    </row>
    <row r="942" spans="2:13">
      <c r="B942" s="515"/>
      <c r="C942" s="318"/>
      <c r="D942" s="318"/>
      <c r="E942" s="318"/>
      <c r="F942" s="318"/>
      <c r="G942" s="318"/>
      <c r="H942" s="318"/>
      <c r="I942" s="318"/>
      <c r="J942" s="318"/>
      <c r="K942" s="318"/>
      <c r="L942" s="318"/>
      <c r="M942" s="318"/>
    </row>
    <row r="943" spans="2:13">
      <c r="B943" s="515"/>
      <c r="C943" s="318"/>
      <c r="D943" s="318"/>
      <c r="E943" s="318"/>
      <c r="F943" s="318"/>
      <c r="G943" s="318"/>
      <c r="H943" s="318"/>
      <c r="I943" s="318"/>
      <c r="J943" s="318"/>
      <c r="K943" s="318"/>
      <c r="L943" s="318"/>
      <c r="M943" s="318"/>
    </row>
    <row r="944" spans="2:13">
      <c r="B944" s="515"/>
      <c r="C944" s="318"/>
      <c r="D944" s="318"/>
      <c r="E944" s="318"/>
      <c r="F944" s="318"/>
      <c r="G944" s="318"/>
      <c r="H944" s="318"/>
      <c r="I944" s="318"/>
      <c r="J944" s="318"/>
      <c r="K944" s="318"/>
      <c r="L944" s="318"/>
      <c r="M944" s="318"/>
    </row>
    <row r="945" spans="2:13">
      <c r="B945" s="515"/>
      <c r="C945" s="318"/>
      <c r="D945" s="318"/>
      <c r="E945" s="318"/>
      <c r="F945" s="318"/>
      <c r="G945" s="318"/>
      <c r="H945" s="318"/>
      <c r="I945" s="318"/>
      <c r="J945" s="318"/>
      <c r="K945" s="318"/>
      <c r="L945" s="318"/>
      <c r="M945" s="318"/>
    </row>
    <row r="946" spans="2:13">
      <c r="B946" s="515"/>
      <c r="C946" s="318"/>
      <c r="D946" s="318"/>
      <c r="E946" s="318"/>
      <c r="F946" s="318"/>
      <c r="G946" s="318"/>
      <c r="H946" s="318"/>
      <c r="I946" s="318"/>
      <c r="J946" s="318"/>
      <c r="K946" s="318"/>
      <c r="L946" s="318"/>
      <c r="M946" s="318"/>
    </row>
    <row r="947" spans="2:13">
      <c r="B947" s="515"/>
      <c r="C947" s="318"/>
      <c r="D947" s="318"/>
      <c r="E947" s="318"/>
      <c r="F947" s="318"/>
      <c r="G947" s="318"/>
      <c r="H947" s="318"/>
      <c r="I947" s="318"/>
      <c r="J947" s="318"/>
      <c r="K947" s="318"/>
      <c r="L947" s="318"/>
      <c r="M947" s="318"/>
    </row>
    <row r="948" spans="2:13">
      <c r="B948" s="515"/>
      <c r="C948" s="318"/>
      <c r="D948" s="318"/>
      <c r="E948" s="318"/>
      <c r="F948" s="318"/>
      <c r="G948" s="318"/>
      <c r="H948" s="318"/>
      <c r="I948" s="318"/>
      <c r="J948" s="318"/>
      <c r="K948" s="318"/>
      <c r="L948" s="318"/>
      <c r="M948" s="318"/>
    </row>
    <row r="949" spans="2:13">
      <c r="B949" s="515"/>
      <c r="C949" s="318"/>
      <c r="D949" s="318"/>
      <c r="E949" s="318"/>
      <c r="F949" s="318"/>
      <c r="G949" s="318"/>
      <c r="H949" s="318"/>
      <c r="I949" s="318"/>
      <c r="J949" s="318"/>
      <c r="K949" s="318"/>
      <c r="L949" s="318"/>
      <c r="M949" s="318"/>
    </row>
    <row r="950" spans="2:13">
      <c r="B950" s="515"/>
      <c r="C950" s="318"/>
      <c r="D950" s="318"/>
      <c r="E950" s="318"/>
      <c r="F950" s="318"/>
      <c r="G950" s="318"/>
      <c r="H950" s="318"/>
      <c r="I950" s="318"/>
      <c r="J950" s="318"/>
      <c r="K950" s="318"/>
      <c r="L950" s="318"/>
      <c r="M950" s="318"/>
    </row>
    <row r="951" spans="2:13">
      <c r="B951" s="515"/>
      <c r="C951" s="318"/>
      <c r="D951" s="318"/>
      <c r="E951" s="318"/>
      <c r="F951" s="318"/>
      <c r="G951" s="318"/>
      <c r="H951" s="318"/>
      <c r="I951" s="318"/>
      <c r="J951" s="318"/>
      <c r="K951" s="318"/>
      <c r="L951" s="318"/>
      <c r="M951" s="318"/>
    </row>
    <row r="952" spans="2:13">
      <c r="B952" s="515"/>
      <c r="C952" s="318"/>
      <c r="D952" s="318"/>
      <c r="E952" s="318"/>
      <c r="F952" s="318"/>
      <c r="G952" s="318"/>
      <c r="H952" s="318"/>
      <c r="I952" s="318"/>
      <c r="J952" s="318"/>
      <c r="K952" s="318"/>
      <c r="L952" s="318"/>
      <c r="M952" s="318"/>
    </row>
    <row r="953" spans="2:13">
      <c r="B953" s="515"/>
      <c r="C953" s="318"/>
      <c r="D953" s="318"/>
      <c r="E953" s="318"/>
      <c r="F953" s="318"/>
      <c r="G953" s="318"/>
      <c r="H953" s="318"/>
      <c r="I953" s="318"/>
      <c r="J953" s="318"/>
      <c r="K953" s="318"/>
      <c r="L953" s="318"/>
      <c r="M953" s="318"/>
    </row>
    <row r="954" spans="2:13">
      <c r="B954" s="515"/>
      <c r="C954" s="318"/>
      <c r="D954" s="318"/>
      <c r="E954" s="318"/>
      <c r="F954" s="318"/>
      <c r="G954" s="318"/>
      <c r="H954" s="318"/>
      <c r="I954" s="318"/>
      <c r="J954" s="318"/>
      <c r="K954" s="318"/>
      <c r="L954" s="318"/>
      <c r="M954" s="318"/>
    </row>
    <row r="955" spans="2:13">
      <c r="B955" s="515"/>
      <c r="C955" s="318"/>
      <c r="D955" s="318"/>
      <c r="E955" s="318"/>
      <c r="F955" s="318"/>
      <c r="G955" s="318"/>
      <c r="H955" s="318"/>
      <c r="I955" s="318"/>
      <c r="J955" s="318"/>
      <c r="K955" s="318"/>
      <c r="L955" s="318"/>
      <c r="M955" s="318"/>
    </row>
    <row r="956" spans="2:13">
      <c r="B956" s="515"/>
      <c r="C956" s="318"/>
      <c r="D956" s="318"/>
      <c r="E956" s="318"/>
      <c r="F956" s="318"/>
      <c r="G956" s="318"/>
      <c r="H956" s="318"/>
      <c r="I956" s="318"/>
      <c r="J956" s="318"/>
      <c r="K956" s="318"/>
      <c r="L956" s="318"/>
      <c r="M956" s="318"/>
    </row>
    <row r="957" spans="2:13">
      <c r="B957" s="515"/>
      <c r="C957" s="318"/>
      <c r="D957" s="318"/>
      <c r="E957" s="318"/>
      <c r="F957" s="318"/>
      <c r="G957" s="318"/>
      <c r="H957" s="318"/>
      <c r="I957" s="318"/>
      <c r="J957" s="318"/>
      <c r="K957" s="318"/>
      <c r="L957" s="318"/>
      <c r="M957" s="318"/>
    </row>
    <row r="958" spans="2:13">
      <c r="B958" s="515"/>
      <c r="C958" s="318"/>
      <c r="D958" s="318"/>
      <c r="E958" s="318"/>
      <c r="F958" s="318"/>
      <c r="G958" s="318"/>
      <c r="H958" s="318"/>
      <c r="I958" s="318"/>
      <c r="J958" s="318"/>
      <c r="K958" s="318"/>
      <c r="L958" s="318"/>
      <c r="M958" s="318"/>
    </row>
    <row r="959" spans="2:13">
      <c r="B959" s="515"/>
      <c r="C959" s="318"/>
      <c r="D959" s="318"/>
      <c r="E959" s="318"/>
      <c r="F959" s="318"/>
      <c r="G959" s="318"/>
      <c r="H959" s="318"/>
      <c r="I959" s="318"/>
      <c r="J959" s="318"/>
      <c r="K959" s="318"/>
      <c r="L959" s="318"/>
      <c r="M959" s="318"/>
    </row>
    <row r="960" spans="2:13">
      <c r="B960" s="515"/>
      <c r="C960" s="318"/>
      <c r="D960" s="318"/>
      <c r="E960" s="318"/>
      <c r="F960" s="318"/>
      <c r="G960" s="318"/>
      <c r="H960" s="318"/>
      <c r="I960" s="318"/>
      <c r="J960" s="318"/>
      <c r="K960" s="318"/>
      <c r="L960" s="318"/>
      <c r="M960" s="318"/>
    </row>
    <row r="961" spans="2:13">
      <c r="B961" s="515"/>
      <c r="C961" s="318"/>
      <c r="D961" s="318"/>
      <c r="E961" s="318"/>
      <c r="F961" s="318"/>
      <c r="G961" s="318"/>
      <c r="H961" s="318"/>
      <c r="I961" s="318"/>
      <c r="J961" s="318"/>
      <c r="K961" s="318"/>
      <c r="L961" s="318"/>
      <c r="M961" s="318"/>
    </row>
    <row r="962" spans="2:13">
      <c r="B962" s="515"/>
      <c r="C962" s="318"/>
      <c r="D962" s="318"/>
      <c r="E962" s="318"/>
      <c r="F962" s="318"/>
      <c r="G962" s="318"/>
      <c r="H962" s="318"/>
      <c r="I962" s="318"/>
      <c r="J962" s="318"/>
      <c r="K962" s="318"/>
      <c r="L962" s="318"/>
      <c r="M962" s="318"/>
    </row>
    <row r="963" spans="2:13">
      <c r="B963" s="515"/>
      <c r="C963" s="318"/>
      <c r="D963" s="318"/>
      <c r="E963" s="318"/>
      <c r="F963" s="318"/>
      <c r="G963" s="318"/>
      <c r="H963" s="318"/>
      <c r="I963" s="318"/>
      <c r="J963" s="318"/>
      <c r="K963" s="318"/>
      <c r="L963" s="318"/>
      <c r="M963" s="318"/>
    </row>
    <row r="964" spans="2:13">
      <c r="B964" s="515"/>
      <c r="C964" s="318"/>
      <c r="D964" s="318"/>
      <c r="E964" s="318"/>
      <c r="F964" s="318"/>
      <c r="G964" s="318"/>
      <c r="H964" s="318"/>
      <c r="I964" s="318"/>
      <c r="J964" s="318"/>
      <c r="K964" s="318"/>
      <c r="L964" s="318"/>
      <c r="M964" s="318"/>
    </row>
    <row r="965" spans="2:13">
      <c r="B965" s="515"/>
      <c r="C965" s="318"/>
      <c r="D965" s="318"/>
      <c r="E965" s="318"/>
      <c r="F965" s="318"/>
      <c r="G965" s="318"/>
      <c r="H965" s="318"/>
      <c r="I965" s="318"/>
      <c r="J965" s="318"/>
      <c r="K965" s="318"/>
      <c r="L965" s="318"/>
      <c r="M965" s="318"/>
    </row>
    <row r="966" spans="2:13">
      <c r="B966" s="515"/>
      <c r="C966" s="318"/>
      <c r="D966" s="318"/>
      <c r="E966" s="318"/>
      <c r="F966" s="318"/>
      <c r="G966" s="318"/>
      <c r="H966" s="318"/>
      <c r="I966" s="318"/>
      <c r="J966" s="318"/>
      <c r="K966" s="318"/>
      <c r="L966" s="318"/>
      <c r="M966" s="318"/>
    </row>
    <row r="967" spans="2:13">
      <c r="B967" s="515"/>
      <c r="C967" s="318"/>
      <c r="D967" s="318"/>
      <c r="E967" s="318"/>
      <c r="F967" s="318"/>
      <c r="G967" s="318"/>
      <c r="H967" s="318"/>
      <c r="I967" s="318"/>
      <c r="J967" s="318"/>
      <c r="K967" s="318"/>
      <c r="L967" s="318"/>
      <c r="M967" s="318"/>
    </row>
    <row r="968" spans="2:13">
      <c r="B968" s="515"/>
      <c r="C968" s="318"/>
      <c r="D968" s="318"/>
      <c r="E968" s="318"/>
      <c r="F968" s="318"/>
      <c r="G968" s="318"/>
      <c r="H968" s="318"/>
      <c r="I968" s="318"/>
      <c r="J968" s="318"/>
      <c r="K968" s="318"/>
      <c r="L968" s="318"/>
      <c r="M968" s="318"/>
    </row>
    <row r="969" spans="2:13">
      <c r="B969" s="515"/>
      <c r="C969" s="318"/>
      <c r="D969" s="318"/>
      <c r="E969" s="318"/>
      <c r="F969" s="318"/>
      <c r="G969" s="318"/>
      <c r="H969" s="318"/>
      <c r="I969" s="318"/>
      <c r="J969" s="318"/>
      <c r="K969" s="318"/>
      <c r="L969" s="318"/>
      <c r="M969" s="318"/>
    </row>
    <row r="970" spans="2:13">
      <c r="B970" s="515"/>
      <c r="C970" s="318"/>
      <c r="D970" s="318"/>
      <c r="E970" s="318"/>
      <c r="F970" s="318"/>
      <c r="G970" s="318"/>
      <c r="H970" s="318"/>
      <c r="I970" s="318"/>
      <c r="J970" s="318"/>
      <c r="K970" s="318"/>
      <c r="L970" s="318"/>
      <c r="M970" s="318"/>
    </row>
    <row r="971" spans="2:13">
      <c r="B971" s="515"/>
      <c r="C971" s="318"/>
      <c r="D971" s="318"/>
      <c r="E971" s="318"/>
      <c r="F971" s="318"/>
      <c r="G971" s="318"/>
      <c r="H971" s="318"/>
      <c r="I971" s="318"/>
      <c r="J971" s="318"/>
      <c r="K971" s="318"/>
      <c r="L971" s="318"/>
      <c r="M971" s="318"/>
    </row>
    <row r="972" spans="2:13">
      <c r="B972" s="515"/>
      <c r="C972" s="318"/>
      <c r="D972" s="318"/>
      <c r="E972" s="318"/>
      <c r="F972" s="318"/>
      <c r="G972" s="318"/>
      <c r="H972" s="318"/>
      <c r="I972" s="318"/>
      <c r="J972" s="318"/>
      <c r="K972" s="318"/>
      <c r="L972" s="318"/>
      <c r="M972" s="318"/>
    </row>
    <row r="973" spans="2:13">
      <c r="B973" s="515"/>
      <c r="C973" s="318"/>
      <c r="D973" s="318"/>
      <c r="E973" s="318"/>
      <c r="F973" s="318"/>
      <c r="G973" s="318"/>
      <c r="H973" s="318"/>
      <c r="I973" s="318"/>
      <c r="J973" s="318"/>
      <c r="K973" s="318"/>
      <c r="L973" s="318"/>
      <c r="M973" s="318"/>
    </row>
    <row r="974" spans="2:13">
      <c r="B974" s="515"/>
      <c r="C974" s="318"/>
      <c r="D974" s="318"/>
      <c r="E974" s="318"/>
      <c r="F974" s="318"/>
      <c r="G974" s="318"/>
      <c r="H974" s="318"/>
      <c r="I974" s="318"/>
      <c r="J974" s="318"/>
      <c r="K974" s="318"/>
      <c r="L974" s="318"/>
      <c r="M974" s="318"/>
    </row>
    <row r="975" spans="2:13">
      <c r="B975" s="515"/>
      <c r="C975" s="318"/>
      <c r="D975" s="318"/>
      <c r="E975" s="318"/>
      <c r="F975" s="318"/>
      <c r="G975" s="318"/>
      <c r="H975" s="318"/>
      <c r="I975" s="318"/>
      <c r="J975" s="318"/>
      <c r="K975" s="318"/>
      <c r="L975" s="318"/>
      <c r="M975" s="318"/>
    </row>
    <row r="976" spans="2:13">
      <c r="B976" s="515"/>
      <c r="C976" s="318"/>
      <c r="D976" s="318"/>
      <c r="E976" s="318"/>
      <c r="F976" s="318"/>
      <c r="G976" s="318"/>
      <c r="H976" s="318"/>
      <c r="I976" s="318"/>
      <c r="J976" s="318"/>
      <c r="K976" s="318"/>
      <c r="L976" s="318"/>
      <c r="M976" s="318"/>
    </row>
    <row r="977" spans="2:13">
      <c r="B977" s="515"/>
      <c r="C977" s="318"/>
      <c r="D977" s="318"/>
      <c r="E977" s="318"/>
      <c r="F977" s="318"/>
      <c r="G977" s="318"/>
      <c r="H977" s="318"/>
      <c r="I977" s="318"/>
      <c r="J977" s="318"/>
      <c r="K977" s="318"/>
      <c r="L977" s="318"/>
      <c r="M977" s="318"/>
    </row>
    <row r="978" spans="2:13">
      <c r="B978" s="515"/>
      <c r="C978" s="318"/>
      <c r="D978" s="318"/>
      <c r="E978" s="318"/>
      <c r="F978" s="318"/>
      <c r="G978" s="318"/>
      <c r="H978" s="318"/>
      <c r="I978" s="318"/>
      <c r="J978" s="318"/>
      <c r="K978" s="318"/>
      <c r="L978" s="318"/>
      <c r="M978" s="318"/>
    </row>
    <row r="979" spans="2:13">
      <c r="B979" s="515"/>
      <c r="C979" s="318"/>
      <c r="D979" s="318"/>
      <c r="E979" s="318"/>
      <c r="F979" s="318"/>
      <c r="G979" s="318"/>
      <c r="H979" s="318"/>
      <c r="I979" s="318"/>
      <c r="J979" s="318"/>
      <c r="K979" s="318"/>
      <c r="L979" s="318"/>
      <c r="M979" s="318"/>
    </row>
    <row r="980" spans="2:13">
      <c r="B980" s="515"/>
      <c r="C980" s="318"/>
      <c r="D980" s="318"/>
      <c r="E980" s="318"/>
      <c r="F980" s="318"/>
      <c r="G980" s="318"/>
      <c r="H980" s="318"/>
      <c r="I980" s="318"/>
      <c r="J980" s="318"/>
      <c r="K980" s="318"/>
      <c r="L980" s="318"/>
      <c r="M980" s="318"/>
    </row>
    <row r="981" spans="2:13">
      <c r="B981" s="515"/>
      <c r="C981" s="318"/>
      <c r="D981" s="318"/>
      <c r="E981" s="318"/>
      <c r="F981" s="318"/>
      <c r="G981" s="318"/>
      <c r="H981" s="318"/>
      <c r="I981" s="318"/>
      <c r="J981" s="318"/>
      <c r="K981" s="318"/>
      <c r="L981" s="318"/>
      <c r="M981" s="318"/>
    </row>
    <row r="982" spans="2:13">
      <c r="B982" s="515"/>
      <c r="C982" s="318"/>
      <c r="D982" s="318"/>
      <c r="E982" s="318"/>
      <c r="F982" s="318"/>
      <c r="G982" s="318"/>
      <c r="H982" s="318"/>
      <c r="I982" s="318"/>
      <c r="J982" s="318"/>
      <c r="K982" s="318"/>
      <c r="L982" s="318"/>
      <c r="M982" s="318"/>
    </row>
    <row r="983" spans="2:13">
      <c r="B983" s="515"/>
      <c r="C983" s="318"/>
      <c r="D983" s="318"/>
      <c r="E983" s="318"/>
      <c r="F983" s="318"/>
      <c r="G983" s="318"/>
      <c r="H983" s="318"/>
      <c r="I983" s="318"/>
      <c r="J983" s="318"/>
      <c r="K983" s="318"/>
      <c r="L983" s="318"/>
      <c r="M983" s="318"/>
    </row>
    <row r="984" spans="2:13">
      <c r="B984" s="515"/>
      <c r="C984" s="318"/>
      <c r="D984" s="318"/>
      <c r="E984" s="318"/>
      <c r="F984" s="318"/>
      <c r="G984" s="318"/>
      <c r="H984" s="318"/>
      <c r="I984" s="318"/>
      <c r="J984" s="318"/>
      <c r="K984" s="318"/>
      <c r="L984" s="318"/>
      <c r="M984" s="318"/>
    </row>
    <row r="985" spans="2:13">
      <c r="B985" s="515"/>
      <c r="C985" s="318"/>
      <c r="D985" s="318"/>
      <c r="E985" s="318"/>
      <c r="F985" s="318"/>
      <c r="G985" s="318"/>
      <c r="H985" s="318"/>
      <c r="I985" s="318"/>
      <c r="J985" s="318"/>
      <c r="K985" s="318"/>
      <c r="L985" s="318"/>
      <c r="M985" s="318"/>
    </row>
    <row r="986" spans="2:13">
      <c r="B986" s="515"/>
      <c r="C986" s="318"/>
      <c r="D986" s="318"/>
      <c r="E986" s="318"/>
      <c r="F986" s="318"/>
      <c r="G986" s="318"/>
      <c r="H986" s="318"/>
      <c r="I986" s="318"/>
      <c r="J986" s="318"/>
      <c r="K986" s="318"/>
      <c r="L986" s="318"/>
      <c r="M986" s="318"/>
    </row>
    <row r="987" spans="2:13">
      <c r="B987" s="515"/>
      <c r="C987" s="318"/>
      <c r="D987" s="318"/>
      <c r="E987" s="318"/>
      <c r="F987" s="318"/>
      <c r="G987" s="318"/>
      <c r="H987" s="318"/>
      <c r="I987" s="318"/>
      <c r="J987" s="318"/>
      <c r="K987" s="318"/>
      <c r="L987" s="318"/>
      <c r="M987" s="318"/>
    </row>
    <row r="988" spans="2:13">
      <c r="B988" s="515"/>
      <c r="C988" s="318"/>
      <c r="D988" s="318"/>
      <c r="E988" s="318"/>
      <c r="F988" s="318"/>
      <c r="G988" s="318"/>
      <c r="H988" s="318"/>
      <c r="I988" s="318"/>
      <c r="J988" s="318"/>
      <c r="K988" s="318"/>
      <c r="L988" s="318"/>
      <c r="M988" s="318"/>
    </row>
    <row r="989" spans="2:13">
      <c r="B989" s="515"/>
      <c r="C989" s="318"/>
      <c r="D989" s="318"/>
      <c r="E989" s="318"/>
      <c r="F989" s="318"/>
      <c r="G989" s="318"/>
      <c r="H989" s="318"/>
      <c r="I989" s="318"/>
      <c r="J989" s="318"/>
      <c r="K989" s="318"/>
      <c r="L989" s="318"/>
      <c r="M989" s="318"/>
    </row>
    <row r="990" spans="2:13">
      <c r="B990" s="515"/>
      <c r="C990" s="318"/>
      <c r="D990" s="318"/>
      <c r="E990" s="318"/>
      <c r="F990" s="318"/>
      <c r="G990" s="318"/>
      <c r="H990" s="318"/>
      <c r="I990" s="318"/>
      <c r="J990" s="318"/>
      <c r="K990" s="318"/>
      <c r="L990" s="318"/>
      <c r="M990" s="318"/>
    </row>
    <row r="991" spans="2:13">
      <c r="B991" s="515"/>
      <c r="C991" s="318"/>
      <c r="D991" s="318"/>
      <c r="E991" s="318"/>
      <c r="F991" s="318"/>
      <c r="G991" s="318"/>
      <c r="H991" s="318"/>
      <c r="I991" s="318"/>
      <c r="J991" s="318"/>
      <c r="K991" s="318"/>
      <c r="L991" s="318"/>
      <c r="M991" s="318"/>
    </row>
    <row r="992" spans="2:13">
      <c r="B992" s="515"/>
      <c r="C992" s="318"/>
      <c r="D992" s="318"/>
      <c r="E992" s="318"/>
      <c r="F992" s="318"/>
      <c r="G992" s="318"/>
      <c r="H992" s="318"/>
      <c r="I992" s="318"/>
      <c r="J992" s="318"/>
      <c r="K992" s="318"/>
      <c r="L992" s="318"/>
      <c r="M992" s="318"/>
    </row>
    <row r="993" spans="2:13">
      <c r="B993" s="515"/>
      <c r="C993" s="318"/>
      <c r="D993" s="318"/>
      <c r="E993" s="318"/>
      <c r="F993" s="318"/>
      <c r="G993" s="318"/>
      <c r="H993" s="318"/>
      <c r="I993" s="318"/>
      <c r="J993" s="318"/>
      <c r="K993" s="318"/>
      <c r="L993" s="318"/>
      <c r="M993" s="318"/>
    </row>
    <row r="994" spans="2:13">
      <c r="B994" s="515"/>
      <c r="C994" s="318"/>
      <c r="D994" s="318"/>
      <c r="E994" s="318"/>
      <c r="F994" s="318"/>
      <c r="G994" s="318"/>
      <c r="H994" s="318"/>
      <c r="I994" s="318"/>
      <c r="J994" s="318"/>
      <c r="K994" s="318"/>
      <c r="L994" s="318"/>
      <c r="M994" s="318"/>
    </row>
    <row r="995" spans="2:13">
      <c r="B995" s="515"/>
      <c r="C995" s="318"/>
      <c r="D995" s="318"/>
      <c r="E995" s="318"/>
      <c r="F995" s="318"/>
      <c r="G995" s="318"/>
      <c r="H995" s="318"/>
      <c r="I995" s="318"/>
      <c r="J995" s="318"/>
      <c r="K995" s="318"/>
      <c r="L995" s="318"/>
      <c r="M995" s="318"/>
    </row>
    <row r="996" spans="2:13">
      <c r="B996" s="515"/>
      <c r="C996" s="318"/>
      <c r="D996" s="318"/>
      <c r="E996" s="318"/>
      <c r="F996" s="318"/>
      <c r="G996" s="318"/>
      <c r="H996" s="318"/>
      <c r="I996" s="318"/>
      <c r="J996" s="318"/>
      <c r="K996" s="318"/>
      <c r="L996" s="318"/>
      <c r="M996" s="318"/>
    </row>
    <row r="997" spans="2:13">
      <c r="B997" s="515"/>
      <c r="C997" s="318"/>
      <c r="D997" s="318"/>
      <c r="E997" s="318"/>
      <c r="F997" s="318"/>
      <c r="G997" s="318"/>
      <c r="H997" s="318"/>
      <c r="I997" s="318"/>
      <c r="J997" s="318"/>
      <c r="K997" s="318"/>
      <c r="L997" s="318"/>
      <c r="M997" s="318"/>
    </row>
    <row r="998" spans="2:13">
      <c r="B998" s="515"/>
      <c r="C998" s="318"/>
      <c r="D998" s="318"/>
      <c r="E998" s="318"/>
      <c r="F998" s="318"/>
      <c r="G998" s="318"/>
      <c r="H998" s="318"/>
      <c r="I998" s="318"/>
      <c r="J998" s="318"/>
      <c r="K998" s="318"/>
      <c r="L998" s="318"/>
      <c r="M998" s="318"/>
    </row>
    <row r="999" spans="2:13">
      <c r="B999" s="515"/>
      <c r="C999" s="318"/>
      <c r="D999" s="318"/>
      <c r="E999" s="318"/>
      <c r="F999" s="318"/>
      <c r="G999" s="318"/>
      <c r="H999" s="318"/>
      <c r="I999" s="318"/>
      <c r="J999" s="318"/>
      <c r="K999" s="318"/>
      <c r="L999" s="318"/>
      <c r="M999" s="318"/>
    </row>
    <row r="1000" spans="2:13">
      <c r="B1000" s="515"/>
      <c r="C1000" s="318"/>
      <c r="D1000" s="318"/>
      <c r="E1000" s="318"/>
      <c r="F1000" s="318"/>
      <c r="G1000" s="318"/>
      <c r="H1000" s="318"/>
      <c r="I1000" s="318"/>
      <c r="J1000" s="318"/>
      <c r="K1000" s="318"/>
      <c r="L1000" s="318"/>
      <c r="M1000" s="318"/>
    </row>
    <row r="1001" spans="2:13">
      <c r="B1001" s="515"/>
      <c r="C1001" s="318"/>
      <c r="D1001" s="318"/>
      <c r="E1001" s="318"/>
      <c r="F1001" s="318"/>
      <c r="G1001" s="318"/>
      <c r="H1001" s="318"/>
      <c r="I1001" s="318"/>
      <c r="J1001" s="318"/>
      <c r="K1001" s="318"/>
      <c r="L1001" s="318"/>
      <c r="M1001" s="318"/>
    </row>
    <row r="1002" spans="2:13">
      <c r="B1002" s="515"/>
      <c r="C1002" s="318"/>
      <c r="D1002" s="318"/>
      <c r="E1002" s="318"/>
      <c r="F1002" s="318"/>
      <c r="G1002" s="318"/>
      <c r="H1002" s="318"/>
      <c r="I1002" s="318"/>
      <c r="J1002" s="318"/>
      <c r="K1002" s="318"/>
      <c r="L1002" s="318"/>
      <c r="M1002" s="318"/>
    </row>
    <row r="1003" spans="2:13">
      <c r="B1003" s="515"/>
      <c r="C1003" s="318"/>
      <c r="D1003" s="318"/>
      <c r="E1003" s="318"/>
      <c r="F1003" s="318"/>
      <c r="G1003" s="318"/>
      <c r="H1003" s="318"/>
      <c r="I1003" s="318"/>
      <c r="J1003" s="318"/>
      <c r="K1003" s="318"/>
      <c r="L1003" s="318"/>
      <c r="M1003" s="318"/>
    </row>
    <row r="1004" spans="2:13">
      <c r="B1004" s="515"/>
      <c r="C1004" s="318"/>
      <c r="D1004" s="318"/>
      <c r="E1004" s="318"/>
      <c r="F1004" s="318"/>
      <c r="G1004" s="318"/>
      <c r="H1004" s="318"/>
      <c r="I1004" s="318"/>
      <c r="J1004" s="318"/>
      <c r="K1004" s="318"/>
      <c r="L1004" s="318"/>
      <c r="M1004" s="318"/>
    </row>
    <row r="1005" spans="2:13">
      <c r="B1005" s="515"/>
      <c r="C1005" s="318"/>
      <c r="D1005" s="318"/>
      <c r="E1005" s="318"/>
      <c r="F1005" s="318"/>
      <c r="G1005" s="318"/>
      <c r="H1005" s="318"/>
      <c r="I1005" s="318"/>
      <c r="J1005" s="318"/>
      <c r="K1005" s="318"/>
      <c r="L1005" s="318"/>
      <c r="M1005" s="318"/>
    </row>
    <row r="1006" spans="2:13">
      <c r="B1006" s="515"/>
      <c r="C1006" s="318"/>
      <c r="D1006" s="318"/>
      <c r="E1006" s="318"/>
      <c r="F1006" s="318"/>
      <c r="G1006" s="318"/>
      <c r="H1006" s="318"/>
      <c r="I1006" s="318"/>
      <c r="J1006" s="318"/>
      <c r="K1006" s="318"/>
      <c r="L1006" s="318"/>
      <c r="M1006" s="318"/>
    </row>
    <row r="1007" spans="2:13">
      <c r="B1007" s="515"/>
      <c r="C1007" s="318"/>
      <c r="D1007" s="318"/>
      <c r="E1007" s="318"/>
      <c r="F1007" s="318"/>
      <c r="G1007" s="318"/>
      <c r="H1007" s="318"/>
      <c r="I1007" s="318"/>
      <c r="J1007" s="318"/>
      <c r="K1007" s="318"/>
      <c r="L1007" s="318"/>
      <c r="M1007" s="318"/>
    </row>
    <row r="1008" spans="2:13">
      <c r="B1008" s="515"/>
      <c r="C1008" s="318"/>
      <c r="D1008" s="318"/>
      <c r="E1008" s="318"/>
      <c r="F1008" s="318"/>
      <c r="G1008" s="318"/>
      <c r="H1008" s="318"/>
      <c r="I1008" s="318"/>
      <c r="J1008" s="318"/>
      <c r="K1008" s="318"/>
      <c r="L1008" s="318"/>
      <c r="M1008" s="318"/>
    </row>
    <row r="1009" spans="2:13">
      <c r="B1009" s="515"/>
      <c r="C1009" s="318"/>
      <c r="D1009" s="318"/>
      <c r="E1009" s="318"/>
      <c r="F1009" s="318"/>
      <c r="G1009" s="318"/>
      <c r="H1009" s="318"/>
      <c r="I1009" s="318"/>
      <c r="J1009" s="318"/>
      <c r="K1009" s="318"/>
      <c r="L1009" s="318"/>
      <c r="M1009" s="318"/>
    </row>
    <row r="1010" spans="2:13">
      <c r="B1010" s="515"/>
      <c r="C1010" s="318"/>
      <c r="D1010" s="318"/>
      <c r="E1010" s="318"/>
      <c r="F1010" s="318"/>
      <c r="G1010" s="318"/>
      <c r="H1010" s="318"/>
      <c r="I1010" s="318"/>
      <c r="J1010" s="318"/>
      <c r="K1010" s="318"/>
      <c r="L1010" s="318"/>
      <c r="M1010" s="318"/>
    </row>
    <row r="1011" spans="2:13">
      <c r="B1011" s="515"/>
      <c r="C1011" s="318"/>
      <c r="D1011" s="318"/>
      <c r="E1011" s="318"/>
      <c r="F1011" s="318"/>
      <c r="G1011" s="318"/>
      <c r="H1011" s="318"/>
      <c r="I1011" s="318"/>
      <c r="J1011" s="318"/>
      <c r="K1011" s="318"/>
      <c r="L1011" s="318"/>
      <c r="M1011" s="318"/>
    </row>
    <row r="1012" spans="2:13">
      <c r="B1012" s="515"/>
      <c r="C1012" s="318"/>
      <c r="D1012" s="318"/>
      <c r="E1012" s="318"/>
      <c r="F1012" s="318"/>
      <c r="G1012" s="318"/>
      <c r="H1012" s="318"/>
      <c r="I1012" s="318"/>
      <c r="J1012" s="318"/>
      <c r="K1012" s="318"/>
      <c r="L1012" s="318"/>
      <c r="M1012" s="318"/>
    </row>
    <row r="1013" spans="2:13">
      <c r="B1013" s="515"/>
      <c r="C1013" s="318"/>
      <c r="D1013" s="318"/>
      <c r="E1013" s="318"/>
      <c r="F1013" s="318"/>
      <c r="G1013" s="318"/>
      <c r="H1013" s="318"/>
      <c r="I1013" s="318"/>
      <c r="J1013" s="318"/>
      <c r="K1013" s="318"/>
      <c r="L1013" s="318"/>
      <c r="M1013" s="318"/>
    </row>
    <row r="1014" spans="2:13">
      <c r="B1014" s="515"/>
      <c r="C1014" s="318"/>
      <c r="D1014" s="318"/>
      <c r="E1014" s="318"/>
      <c r="F1014" s="318"/>
      <c r="G1014" s="318"/>
      <c r="H1014" s="318"/>
      <c r="I1014" s="318"/>
      <c r="J1014" s="318"/>
      <c r="K1014" s="318"/>
      <c r="L1014" s="318"/>
      <c r="M1014" s="318"/>
    </row>
    <row r="1015" spans="2:13">
      <c r="B1015" s="515"/>
      <c r="C1015" s="318"/>
      <c r="D1015" s="318"/>
      <c r="E1015" s="318"/>
      <c r="F1015" s="318"/>
      <c r="G1015" s="318"/>
      <c r="H1015" s="318"/>
      <c r="I1015" s="318"/>
      <c r="J1015" s="318"/>
      <c r="K1015" s="318"/>
      <c r="L1015" s="318"/>
      <c r="M1015" s="318"/>
    </row>
    <row r="1016" spans="2:13">
      <c r="B1016" s="515"/>
      <c r="C1016" s="318"/>
      <c r="D1016" s="318"/>
      <c r="E1016" s="318"/>
      <c r="F1016" s="318"/>
      <c r="G1016" s="318"/>
      <c r="H1016" s="318"/>
      <c r="I1016" s="318"/>
      <c r="J1016" s="318"/>
      <c r="K1016" s="318"/>
      <c r="L1016" s="318"/>
      <c r="M1016" s="318"/>
    </row>
    <row r="1017" spans="2:13">
      <c r="B1017" s="515"/>
      <c r="C1017" s="318"/>
      <c r="D1017" s="318"/>
      <c r="E1017" s="318"/>
      <c r="F1017" s="318"/>
      <c r="G1017" s="318"/>
      <c r="H1017" s="318"/>
      <c r="I1017" s="318"/>
      <c r="J1017" s="318"/>
      <c r="K1017" s="318"/>
      <c r="L1017" s="318"/>
      <c r="M1017" s="318"/>
    </row>
    <row r="1018" spans="2:13">
      <c r="B1018" s="515"/>
      <c r="C1018" s="318"/>
      <c r="D1018" s="318"/>
      <c r="E1018" s="318"/>
      <c r="F1018" s="318"/>
      <c r="G1018" s="318"/>
      <c r="H1018" s="318"/>
      <c r="I1018" s="318"/>
      <c r="J1018" s="318"/>
      <c r="K1018" s="318"/>
      <c r="L1018" s="318"/>
      <c r="M1018" s="318"/>
    </row>
    <row r="1019" spans="2:13">
      <c r="B1019" s="515"/>
      <c r="C1019" s="318"/>
      <c r="D1019" s="318"/>
      <c r="E1019" s="318"/>
      <c r="F1019" s="318"/>
      <c r="G1019" s="318"/>
      <c r="H1019" s="318"/>
      <c r="I1019" s="318"/>
      <c r="J1019" s="318"/>
      <c r="K1019" s="318"/>
      <c r="L1019" s="318"/>
      <c r="M1019" s="318"/>
    </row>
    <row r="1020" spans="2:13">
      <c r="B1020" s="515"/>
      <c r="C1020" s="318"/>
      <c r="D1020" s="318"/>
      <c r="E1020" s="318"/>
      <c r="F1020" s="318"/>
      <c r="G1020" s="318"/>
      <c r="H1020" s="318"/>
      <c r="I1020" s="318"/>
      <c r="J1020" s="318"/>
      <c r="K1020" s="318"/>
      <c r="L1020" s="318"/>
      <c r="M1020" s="318"/>
    </row>
    <row r="1021" spans="2:13">
      <c r="B1021" s="515"/>
      <c r="C1021" s="318"/>
      <c r="D1021" s="318"/>
      <c r="E1021" s="318"/>
      <c r="F1021" s="318"/>
      <c r="G1021" s="318"/>
      <c r="H1021" s="318"/>
      <c r="I1021" s="318"/>
      <c r="J1021" s="318"/>
      <c r="K1021" s="318"/>
      <c r="L1021" s="318"/>
      <c r="M1021" s="318"/>
    </row>
    <row r="1022" spans="2:13">
      <c r="B1022" s="515"/>
      <c r="C1022" s="318"/>
      <c r="D1022" s="318"/>
      <c r="E1022" s="318"/>
      <c r="F1022" s="318"/>
      <c r="G1022" s="318"/>
      <c r="H1022" s="318"/>
      <c r="I1022" s="318"/>
      <c r="J1022" s="318"/>
      <c r="K1022" s="318"/>
      <c r="L1022" s="318"/>
      <c r="M1022" s="318"/>
    </row>
    <row r="1023" spans="2:13">
      <c r="B1023" s="515"/>
      <c r="C1023" s="318"/>
      <c r="D1023" s="318"/>
      <c r="E1023" s="318"/>
      <c r="F1023" s="318"/>
      <c r="G1023" s="318"/>
      <c r="H1023" s="318"/>
      <c r="I1023" s="318"/>
      <c r="J1023" s="318"/>
      <c r="K1023" s="318"/>
      <c r="L1023" s="318"/>
      <c r="M1023" s="318"/>
    </row>
    <row r="1024" spans="2:13">
      <c r="B1024" s="515"/>
      <c r="C1024" s="318"/>
      <c r="D1024" s="318"/>
      <c r="E1024" s="318"/>
      <c r="F1024" s="318"/>
      <c r="G1024" s="318"/>
      <c r="H1024" s="318"/>
      <c r="I1024" s="318"/>
      <c r="J1024" s="318"/>
      <c r="K1024" s="318"/>
      <c r="L1024" s="318"/>
      <c r="M1024" s="318"/>
    </row>
    <row r="1025" spans="2:13">
      <c r="B1025" s="515"/>
      <c r="C1025" s="318"/>
      <c r="D1025" s="318"/>
      <c r="E1025" s="318"/>
      <c r="F1025" s="318"/>
      <c r="G1025" s="318"/>
      <c r="H1025" s="318"/>
      <c r="I1025" s="318"/>
      <c r="J1025" s="318"/>
      <c r="K1025" s="318"/>
      <c r="L1025" s="318"/>
      <c r="M1025" s="318"/>
    </row>
    <row r="1026" spans="2:13">
      <c r="B1026" s="515"/>
      <c r="C1026" s="318"/>
      <c r="D1026" s="318"/>
      <c r="E1026" s="318"/>
      <c r="F1026" s="318"/>
      <c r="G1026" s="318"/>
      <c r="H1026" s="318"/>
      <c r="I1026" s="318"/>
      <c r="J1026" s="318"/>
      <c r="K1026" s="318"/>
      <c r="L1026" s="318"/>
      <c r="M1026" s="318"/>
    </row>
    <row r="1027" spans="2:13">
      <c r="B1027" s="515"/>
      <c r="C1027" s="318"/>
      <c r="D1027" s="318"/>
      <c r="E1027" s="318"/>
      <c r="F1027" s="318"/>
      <c r="G1027" s="318"/>
      <c r="H1027" s="318"/>
      <c r="I1027" s="318"/>
      <c r="J1027" s="318"/>
      <c r="K1027" s="318"/>
      <c r="L1027" s="318"/>
      <c r="M1027" s="318"/>
    </row>
    <row r="1028" spans="2:13">
      <c r="B1028" s="515"/>
      <c r="C1028" s="318"/>
      <c r="D1028" s="318"/>
      <c r="E1028" s="318"/>
      <c r="F1028" s="318"/>
      <c r="G1028" s="318"/>
      <c r="H1028" s="318"/>
      <c r="I1028" s="318"/>
      <c r="J1028" s="318"/>
      <c r="K1028" s="318"/>
      <c r="L1028" s="318"/>
      <c r="M1028" s="318"/>
    </row>
    <row r="1029" spans="2:13">
      <c r="B1029" s="515"/>
      <c r="C1029" s="318"/>
      <c r="D1029" s="318"/>
      <c r="E1029" s="318"/>
      <c r="F1029" s="318"/>
      <c r="G1029" s="318"/>
      <c r="H1029" s="318"/>
      <c r="I1029" s="318"/>
      <c r="J1029" s="318"/>
      <c r="K1029" s="318"/>
      <c r="L1029" s="318"/>
      <c r="M1029" s="318"/>
    </row>
    <row r="1030" spans="2:13">
      <c r="B1030" s="515"/>
      <c r="C1030" s="318"/>
      <c r="D1030" s="318"/>
      <c r="E1030" s="318"/>
      <c r="F1030" s="318"/>
      <c r="G1030" s="318"/>
      <c r="H1030" s="318"/>
      <c r="I1030" s="318"/>
      <c r="J1030" s="318"/>
      <c r="K1030" s="318"/>
      <c r="L1030" s="318"/>
      <c r="M1030" s="318"/>
    </row>
    <row r="1031" spans="2:13">
      <c r="B1031" s="515"/>
      <c r="C1031" s="318"/>
      <c r="D1031" s="318"/>
      <c r="E1031" s="318"/>
      <c r="F1031" s="318"/>
      <c r="G1031" s="318"/>
      <c r="H1031" s="318"/>
      <c r="I1031" s="318"/>
      <c r="J1031" s="318"/>
      <c r="K1031" s="318"/>
      <c r="L1031" s="318"/>
      <c r="M1031" s="318"/>
    </row>
    <row r="1032" spans="2:13">
      <c r="B1032" s="515"/>
      <c r="C1032" s="318"/>
      <c r="D1032" s="318"/>
      <c r="E1032" s="318"/>
      <c r="F1032" s="318"/>
      <c r="G1032" s="318"/>
      <c r="H1032" s="318"/>
      <c r="I1032" s="318"/>
      <c r="J1032" s="318"/>
      <c r="K1032" s="318"/>
      <c r="L1032" s="318"/>
      <c r="M1032" s="318"/>
    </row>
    <row r="1033" spans="2:13">
      <c r="B1033" s="515"/>
      <c r="C1033" s="318"/>
      <c r="D1033" s="318"/>
      <c r="E1033" s="318"/>
      <c r="F1033" s="318"/>
      <c r="G1033" s="318"/>
      <c r="H1033" s="318"/>
      <c r="I1033" s="318"/>
      <c r="J1033" s="318"/>
      <c r="K1033" s="318"/>
      <c r="L1033" s="318"/>
      <c r="M1033" s="318"/>
    </row>
    <row r="1034" spans="2:13">
      <c r="B1034" s="515"/>
      <c r="C1034" s="318"/>
      <c r="D1034" s="318"/>
      <c r="E1034" s="318"/>
      <c r="F1034" s="318"/>
      <c r="G1034" s="318"/>
      <c r="H1034" s="318"/>
      <c r="I1034" s="318"/>
      <c r="J1034" s="318"/>
      <c r="K1034" s="318"/>
      <c r="L1034" s="318"/>
      <c r="M1034" s="318"/>
    </row>
    <row r="1035" spans="2:13">
      <c r="B1035" s="515"/>
      <c r="C1035" s="318"/>
      <c r="D1035" s="318"/>
      <c r="E1035" s="318"/>
      <c r="F1035" s="318"/>
      <c r="G1035" s="318"/>
      <c r="H1035" s="318"/>
      <c r="I1035" s="318"/>
      <c r="J1035" s="318"/>
      <c r="K1035" s="318"/>
      <c r="L1035" s="318"/>
      <c r="M1035" s="318"/>
    </row>
    <row r="1036" spans="2:13">
      <c r="B1036" s="515"/>
      <c r="C1036" s="318"/>
      <c r="D1036" s="318"/>
      <c r="E1036" s="318"/>
      <c r="F1036" s="318"/>
      <c r="G1036" s="318"/>
      <c r="H1036" s="318"/>
      <c r="I1036" s="318"/>
      <c r="J1036" s="318"/>
      <c r="K1036" s="318"/>
      <c r="L1036" s="318"/>
      <c r="M1036" s="318"/>
    </row>
    <row r="1037" spans="2:13">
      <c r="B1037" s="515"/>
      <c r="C1037" s="318"/>
      <c r="D1037" s="318"/>
      <c r="E1037" s="318"/>
      <c r="F1037" s="318"/>
      <c r="G1037" s="318"/>
      <c r="H1037" s="318"/>
      <c r="I1037" s="318"/>
      <c r="J1037" s="318"/>
      <c r="K1037" s="318"/>
      <c r="L1037" s="318"/>
      <c r="M1037" s="318"/>
    </row>
    <row r="1038" spans="2:13">
      <c r="B1038" s="515"/>
      <c r="C1038" s="318"/>
      <c r="D1038" s="318"/>
      <c r="E1038" s="318"/>
      <c r="F1038" s="318"/>
      <c r="G1038" s="318"/>
      <c r="H1038" s="318"/>
      <c r="I1038" s="318"/>
      <c r="J1038" s="318"/>
      <c r="K1038" s="318"/>
      <c r="L1038" s="318"/>
      <c r="M1038" s="318"/>
    </row>
    <row r="1039" spans="2:13">
      <c r="B1039" s="515"/>
      <c r="C1039" s="318"/>
      <c r="D1039" s="318"/>
      <c r="E1039" s="318"/>
      <c r="F1039" s="318"/>
      <c r="G1039" s="318"/>
      <c r="H1039" s="318"/>
      <c r="I1039" s="318"/>
      <c r="J1039" s="318"/>
      <c r="K1039" s="318"/>
      <c r="L1039" s="318"/>
      <c r="M1039" s="318"/>
    </row>
    <row r="1040" spans="2:13">
      <c r="B1040" s="515"/>
      <c r="C1040" s="318"/>
      <c r="D1040" s="318"/>
      <c r="E1040" s="318"/>
      <c r="F1040" s="318"/>
      <c r="G1040" s="318"/>
      <c r="H1040" s="318"/>
      <c r="I1040" s="318"/>
      <c r="J1040" s="318"/>
      <c r="K1040" s="318"/>
      <c r="L1040" s="318"/>
      <c r="M1040" s="318"/>
    </row>
    <row r="1041" spans="2:13">
      <c r="B1041" s="515"/>
      <c r="C1041" s="318"/>
      <c r="D1041" s="318"/>
      <c r="E1041" s="318"/>
      <c r="F1041" s="318"/>
      <c r="G1041" s="318"/>
      <c r="H1041" s="318"/>
      <c r="I1041" s="318"/>
      <c r="J1041" s="318"/>
      <c r="K1041" s="318"/>
      <c r="L1041" s="318"/>
      <c r="M1041" s="318"/>
    </row>
    <row r="1042" spans="2:13">
      <c r="B1042" s="515"/>
      <c r="C1042" s="318"/>
      <c r="D1042" s="318"/>
      <c r="E1042" s="318"/>
      <c r="F1042" s="318"/>
      <c r="G1042" s="318"/>
      <c r="H1042" s="318"/>
      <c r="I1042" s="318"/>
      <c r="J1042" s="318"/>
      <c r="K1042" s="318"/>
      <c r="L1042" s="318"/>
      <c r="M1042" s="318"/>
    </row>
    <row r="1043" spans="2:13">
      <c r="B1043" s="515"/>
      <c r="C1043" s="318"/>
      <c r="D1043" s="318"/>
      <c r="E1043" s="318"/>
      <c r="F1043" s="318"/>
      <c r="G1043" s="318"/>
      <c r="H1043" s="318"/>
      <c r="I1043" s="318"/>
      <c r="J1043" s="318"/>
      <c r="K1043" s="318"/>
      <c r="L1043" s="318"/>
      <c r="M1043" s="318"/>
    </row>
    <row r="1044" spans="2:13">
      <c r="B1044" s="515"/>
      <c r="C1044" s="318"/>
      <c r="D1044" s="318"/>
      <c r="E1044" s="318"/>
      <c r="F1044" s="318"/>
      <c r="G1044" s="318"/>
      <c r="H1044" s="318"/>
      <c r="I1044" s="318"/>
      <c r="J1044" s="318"/>
      <c r="K1044" s="318"/>
      <c r="L1044" s="318"/>
      <c r="M1044" s="318"/>
    </row>
    <row r="1045" spans="2:13">
      <c r="B1045" s="515"/>
      <c r="C1045" s="318"/>
      <c r="D1045" s="318"/>
      <c r="E1045" s="318"/>
      <c r="F1045" s="318"/>
      <c r="G1045" s="318"/>
      <c r="H1045" s="318"/>
      <c r="I1045" s="318"/>
      <c r="J1045" s="318"/>
      <c r="K1045" s="318"/>
      <c r="L1045" s="318"/>
      <c r="M1045" s="318"/>
    </row>
    <row r="1046" spans="2:13">
      <c r="B1046" s="515"/>
      <c r="C1046" s="318"/>
      <c r="D1046" s="318"/>
      <c r="E1046" s="318"/>
      <c r="F1046" s="318"/>
      <c r="G1046" s="318"/>
      <c r="H1046" s="318"/>
      <c r="I1046" s="318"/>
      <c r="J1046" s="318"/>
      <c r="K1046" s="318"/>
      <c r="L1046" s="318"/>
      <c r="M1046" s="318"/>
    </row>
    <row r="1047" spans="2:13">
      <c r="B1047" s="515"/>
      <c r="C1047" s="318"/>
      <c r="D1047" s="318"/>
      <c r="E1047" s="318"/>
      <c r="F1047" s="318"/>
      <c r="G1047" s="318"/>
      <c r="H1047" s="318"/>
      <c r="I1047" s="318"/>
      <c r="J1047" s="318"/>
      <c r="K1047" s="318"/>
      <c r="L1047" s="318"/>
      <c r="M1047" s="318"/>
    </row>
    <row r="1048" spans="2:13">
      <c r="B1048" s="515"/>
      <c r="C1048" s="318"/>
      <c r="D1048" s="318"/>
      <c r="E1048" s="318"/>
      <c r="F1048" s="318"/>
      <c r="G1048" s="318"/>
      <c r="H1048" s="318"/>
      <c r="I1048" s="318"/>
      <c r="J1048" s="318"/>
      <c r="K1048" s="318"/>
      <c r="L1048" s="318"/>
      <c r="M1048" s="318"/>
    </row>
    <row r="1049" spans="2:13">
      <c r="B1049" s="515"/>
      <c r="C1049" s="318"/>
      <c r="D1049" s="318"/>
      <c r="E1049" s="318"/>
      <c r="F1049" s="318"/>
      <c r="G1049" s="318"/>
      <c r="H1049" s="318"/>
      <c r="I1049" s="318"/>
      <c r="J1049" s="318"/>
      <c r="K1049" s="318"/>
      <c r="L1049" s="318"/>
      <c r="M1049" s="318"/>
    </row>
    <row r="1050" spans="2:13">
      <c r="B1050" s="515"/>
      <c r="C1050" s="318"/>
      <c r="D1050" s="318"/>
      <c r="E1050" s="318"/>
      <c r="F1050" s="318"/>
      <c r="G1050" s="318"/>
      <c r="H1050" s="318"/>
      <c r="I1050" s="318"/>
      <c r="J1050" s="318"/>
      <c r="K1050" s="318"/>
      <c r="L1050" s="318"/>
      <c r="M1050" s="318"/>
    </row>
    <row r="1051" spans="2:13">
      <c r="B1051" s="515"/>
      <c r="C1051" s="318"/>
      <c r="D1051" s="318"/>
      <c r="E1051" s="318"/>
      <c r="F1051" s="318"/>
      <c r="G1051" s="318"/>
      <c r="H1051" s="318"/>
      <c r="I1051" s="318"/>
      <c r="J1051" s="318"/>
      <c r="K1051" s="318"/>
      <c r="L1051" s="318"/>
      <c r="M1051" s="318"/>
    </row>
    <row r="1052" spans="2:13">
      <c r="B1052" s="515"/>
      <c r="C1052" s="318"/>
      <c r="D1052" s="318"/>
      <c r="E1052" s="318"/>
      <c r="F1052" s="318"/>
      <c r="G1052" s="318"/>
      <c r="H1052" s="318"/>
      <c r="I1052" s="318"/>
      <c r="J1052" s="318"/>
      <c r="K1052" s="318"/>
      <c r="L1052" s="318"/>
      <c r="M1052" s="318"/>
    </row>
    <row r="1053" spans="2:13">
      <c r="B1053" s="515"/>
      <c r="C1053" s="318"/>
      <c r="D1053" s="318"/>
      <c r="E1053" s="318"/>
      <c r="F1053" s="318"/>
      <c r="G1053" s="318"/>
      <c r="H1053" s="318"/>
      <c r="I1053" s="318"/>
      <c r="J1053" s="318"/>
      <c r="K1053" s="318"/>
      <c r="L1053" s="318"/>
      <c r="M1053" s="318"/>
    </row>
    <row r="1054" spans="2:13">
      <c r="B1054" s="515"/>
      <c r="C1054" s="318"/>
      <c r="D1054" s="318"/>
      <c r="E1054" s="318"/>
      <c r="F1054" s="318"/>
      <c r="G1054" s="318"/>
      <c r="H1054" s="318"/>
      <c r="I1054" s="318"/>
      <c r="J1054" s="318"/>
      <c r="K1054" s="318"/>
      <c r="L1054" s="318"/>
      <c r="M1054" s="318"/>
    </row>
    <row r="1055" spans="2:13">
      <c r="B1055" s="515"/>
      <c r="C1055" s="318"/>
      <c r="D1055" s="318"/>
      <c r="E1055" s="318"/>
      <c r="F1055" s="318"/>
      <c r="G1055" s="318"/>
      <c r="H1055" s="318"/>
      <c r="I1055" s="318"/>
      <c r="J1055" s="318"/>
      <c r="K1055" s="318"/>
      <c r="L1055" s="318"/>
      <c r="M1055" s="318"/>
    </row>
    <row r="1056" spans="2:13">
      <c r="B1056" s="515"/>
      <c r="C1056" s="318"/>
      <c r="D1056" s="318"/>
      <c r="E1056" s="318"/>
      <c r="F1056" s="318"/>
      <c r="G1056" s="318"/>
      <c r="H1056" s="318"/>
      <c r="I1056" s="318"/>
      <c r="J1056" s="318"/>
      <c r="K1056" s="318"/>
      <c r="L1056" s="318"/>
      <c r="M1056" s="318"/>
    </row>
    <row r="1057" spans="2:13">
      <c r="B1057" s="515"/>
      <c r="C1057" s="318"/>
      <c r="D1057" s="318"/>
      <c r="E1057" s="318"/>
      <c r="F1057" s="318"/>
      <c r="G1057" s="318"/>
      <c r="H1057" s="318"/>
      <c r="I1057" s="318"/>
      <c r="J1057" s="318"/>
      <c r="K1057" s="318"/>
      <c r="L1057" s="318"/>
      <c r="M1057" s="318"/>
    </row>
    <row r="1058" spans="2:13">
      <c r="B1058" s="515"/>
      <c r="C1058" s="318"/>
      <c r="D1058" s="318"/>
      <c r="E1058" s="318"/>
      <c r="F1058" s="318"/>
      <c r="G1058" s="318"/>
      <c r="H1058" s="318"/>
      <c r="I1058" s="318"/>
      <c r="J1058" s="318"/>
      <c r="K1058" s="318"/>
      <c r="L1058" s="318"/>
      <c r="M1058" s="318"/>
    </row>
    <row r="1059" spans="2:13">
      <c r="B1059" s="515"/>
      <c r="C1059" s="318"/>
      <c r="D1059" s="318"/>
      <c r="E1059" s="318"/>
      <c r="F1059" s="318"/>
      <c r="G1059" s="318"/>
      <c r="H1059" s="318"/>
      <c r="I1059" s="318"/>
      <c r="J1059" s="318"/>
      <c r="K1059" s="318"/>
      <c r="L1059" s="318"/>
      <c r="M1059" s="318"/>
    </row>
    <row r="1060" spans="2:13">
      <c r="B1060" s="515"/>
      <c r="C1060" s="318"/>
      <c r="D1060" s="318"/>
      <c r="E1060" s="318"/>
      <c r="F1060" s="318"/>
      <c r="G1060" s="318"/>
      <c r="H1060" s="318"/>
      <c r="I1060" s="318"/>
      <c r="J1060" s="318"/>
      <c r="K1060" s="318"/>
      <c r="L1060" s="318"/>
      <c r="M1060" s="318"/>
    </row>
    <row r="1061" spans="2:13">
      <c r="B1061" s="515"/>
      <c r="C1061" s="318"/>
      <c r="D1061" s="318"/>
      <c r="E1061" s="318"/>
      <c r="F1061" s="318"/>
      <c r="G1061" s="318"/>
      <c r="H1061" s="318"/>
      <c r="I1061" s="318"/>
      <c r="J1061" s="318"/>
      <c r="K1061" s="318"/>
      <c r="L1061" s="318"/>
      <c r="M1061" s="318"/>
    </row>
    <row r="1062" spans="2:13">
      <c r="B1062" s="515"/>
      <c r="C1062" s="318"/>
      <c r="D1062" s="318"/>
      <c r="E1062" s="318"/>
      <c r="F1062" s="318"/>
      <c r="G1062" s="318"/>
      <c r="H1062" s="318"/>
      <c r="I1062" s="318"/>
      <c r="J1062" s="318"/>
      <c r="K1062" s="318"/>
      <c r="L1062" s="318"/>
      <c r="M1062" s="318"/>
    </row>
    <row r="1063" spans="2:13">
      <c r="B1063" s="515"/>
      <c r="C1063" s="318"/>
      <c r="D1063" s="318"/>
      <c r="E1063" s="318"/>
      <c r="F1063" s="318"/>
      <c r="G1063" s="318"/>
      <c r="H1063" s="318"/>
      <c r="I1063" s="318"/>
      <c r="J1063" s="318"/>
      <c r="K1063" s="318"/>
      <c r="L1063" s="318"/>
      <c r="M1063" s="318"/>
    </row>
    <row r="1064" spans="2:13">
      <c r="B1064" s="515"/>
      <c r="C1064" s="318"/>
      <c r="D1064" s="318"/>
      <c r="E1064" s="318"/>
      <c r="F1064" s="318"/>
      <c r="G1064" s="318"/>
      <c r="H1064" s="318"/>
      <c r="I1064" s="318"/>
      <c r="J1064" s="318"/>
      <c r="K1064" s="318"/>
      <c r="L1064" s="318"/>
      <c r="M1064" s="318"/>
    </row>
    <row r="1065" spans="2:13">
      <c r="B1065" s="515"/>
      <c r="C1065" s="318"/>
      <c r="D1065" s="318"/>
      <c r="E1065" s="318"/>
      <c r="F1065" s="318"/>
      <c r="G1065" s="318"/>
      <c r="H1065" s="318"/>
      <c r="I1065" s="318"/>
      <c r="J1065" s="318"/>
      <c r="K1065" s="318"/>
      <c r="L1065" s="318"/>
      <c r="M1065" s="318"/>
    </row>
    <row r="1066" spans="2:13">
      <c r="B1066" s="515"/>
      <c r="C1066" s="318"/>
      <c r="D1066" s="318"/>
      <c r="E1066" s="318"/>
      <c r="F1066" s="318"/>
      <c r="G1066" s="318"/>
      <c r="H1066" s="318"/>
      <c r="I1066" s="318"/>
      <c r="J1066" s="318"/>
      <c r="K1066" s="318"/>
      <c r="L1066" s="318"/>
      <c r="M1066" s="318"/>
    </row>
    <row r="1067" spans="2:13">
      <c r="B1067" s="515"/>
      <c r="C1067" s="318"/>
      <c r="D1067" s="318"/>
      <c r="E1067" s="318"/>
      <c r="F1067" s="318"/>
      <c r="G1067" s="318"/>
      <c r="H1067" s="318"/>
      <c r="I1067" s="318"/>
      <c r="J1067" s="318"/>
      <c r="K1067" s="318"/>
      <c r="L1067" s="318"/>
      <c r="M1067" s="318"/>
    </row>
    <row r="1068" spans="2:13">
      <c r="B1068" s="515"/>
      <c r="C1068" s="318"/>
      <c r="D1068" s="318"/>
      <c r="E1068" s="318"/>
      <c r="F1068" s="318"/>
      <c r="G1068" s="318"/>
      <c r="H1068" s="318"/>
      <c r="I1068" s="318"/>
      <c r="J1068" s="318"/>
      <c r="K1068" s="318"/>
      <c r="L1068" s="318"/>
      <c r="M1068" s="318"/>
    </row>
    <row r="1069" spans="2:13">
      <c r="B1069" s="515"/>
      <c r="C1069" s="318"/>
      <c r="D1069" s="318"/>
      <c r="E1069" s="318"/>
      <c r="F1069" s="318"/>
      <c r="G1069" s="318"/>
      <c r="H1069" s="318"/>
      <c r="I1069" s="318"/>
      <c r="J1069" s="318"/>
      <c r="K1069" s="318"/>
      <c r="L1069" s="318"/>
      <c r="M1069" s="318"/>
    </row>
    <row r="1070" spans="2:13">
      <c r="B1070" s="515"/>
      <c r="C1070" s="318"/>
      <c r="D1070" s="318"/>
      <c r="E1070" s="318"/>
      <c r="F1070" s="318"/>
      <c r="G1070" s="318"/>
      <c r="H1070" s="318"/>
      <c r="I1070" s="318"/>
      <c r="J1070" s="318"/>
      <c r="K1070" s="318"/>
      <c r="L1070" s="318"/>
      <c r="M1070" s="318"/>
    </row>
    <row r="1071" spans="2:13">
      <c r="B1071" s="515"/>
      <c r="C1071" s="318"/>
      <c r="D1071" s="318"/>
      <c r="E1071" s="318"/>
      <c r="F1071" s="318"/>
      <c r="G1071" s="318"/>
      <c r="H1071" s="318"/>
      <c r="I1071" s="318"/>
      <c r="J1071" s="318"/>
      <c r="K1071" s="318"/>
      <c r="L1071" s="318"/>
      <c r="M1071" s="318"/>
    </row>
    <row r="1072" spans="2:13">
      <c r="B1072" s="515"/>
      <c r="C1072" s="318"/>
      <c r="D1072" s="318"/>
      <c r="E1072" s="318"/>
      <c r="F1072" s="318"/>
      <c r="G1072" s="318"/>
      <c r="H1072" s="318"/>
      <c r="I1072" s="318"/>
      <c r="J1072" s="318"/>
      <c r="K1072" s="318"/>
      <c r="L1072" s="318"/>
      <c r="M1072" s="318"/>
    </row>
    <row r="1073" spans="2:13">
      <c r="B1073" s="515"/>
      <c r="C1073" s="318"/>
      <c r="D1073" s="318"/>
      <c r="E1073" s="318"/>
      <c r="F1073" s="318"/>
      <c r="G1073" s="318"/>
      <c r="H1073" s="318"/>
      <c r="I1073" s="318"/>
      <c r="J1073" s="318"/>
      <c r="K1073" s="318"/>
      <c r="L1073" s="318"/>
      <c r="M1073" s="318"/>
    </row>
    <row r="1074" spans="2:13">
      <c r="B1074" s="515"/>
      <c r="C1074" s="318"/>
      <c r="D1074" s="318"/>
      <c r="E1074" s="318"/>
      <c r="F1074" s="318"/>
      <c r="G1074" s="318"/>
      <c r="H1074" s="318"/>
      <c r="I1074" s="318"/>
      <c r="J1074" s="318"/>
      <c r="K1074" s="318"/>
      <c r="L1074" s="318"/>
      <c r="M1074" s="318"/>
    </row>
    <row r="1075" spans="2:13">
      <c r="B1075" s="515"/>
      <c r="C1075" s="318"/>
      <c r="D1075" s="318"/>
      <c r="E1075" s="318"/>
      <c r="F1075" s="318"/>
      <c r="G1075" s="318"/>
      <c r="H1075" s="318"/>
      <c r="I1075" s="318"/>
      <c r="J1075" s="318"/>
      <c r="K1075" s="318"/>
      <c r="L1075" s="318"/>
      <c r="M1075" s="318"/>
    </row>
    <row r="1076" spans="2:13">
      <c r="B1076" s="515"/>
      <c r="C1076" s="318"/>
      <c r="D1076" s="318"/>
      <c r="E1076" s="318"/>
      <c r="F1076" s="318"/>
      <c r="G1076" s="318"/>
      <c r="H1076" s="318"/>
      <c r="I1076" s="318"/>
      <c r="J1076" s="318"/>
      <c r="K1076" s="318"/>
      <c r="L1076" s="318"/>
      <c r="M1076" s="318"/>
    </row>
    <row r="1077" spans="2:13">
      <c r="B1077" s="515"/>
      <c r="C1077" s="318"/>
      <c r="D1077" s="318"/>
      <c r="E1077" s="318"/>
      <c r="F1077" s="318"/>
      <c r="G1077" s="318"/>
      <c r="H1077" s="318"/>
      <c r="I1077" s="318"/>
      <c r="J1077" s="318"/>
      <c r="K1077" s="318"/>
      <c r="L1077" s="318"/>
      <c r="M1077" s="318"/>
    </row>
    <row r="1078" spans="2:13">
      <c r="B1078" s="515"/>
      <c r="C1078" s="318"/>
      <c r="D1078" s="318"/>
      <c r="E1078" s="318"/>
      <c r="F1078" s="318"/>
      <c r="G1078" s="318"/>
      <c r="H1078" s="318"/>
      <c r="I1078" s="318"/>
      <c r="J1078" s="318"/>
      <c r="K1078" s="318"/>
      <c r="L1078" s="318"/>
      <c r="M1078" s="318"/>
    </row>
    <row r="1079" spans="2:13">
      <c r="B1079" s="515"/>
      <c r="C1079" s="318"/>
      <c r="D1079" s="318"/>
      <c r="E1079" s="318"/>
      <c r="F1079" s="318"/>
      <c r="G1079" s="318"/>
      <c r="H1079" s="318"/>
      <c r="I1079" s="318"/>
      <c r="J1079" s="318"/>
      <c r="K1079" s="318"/>
      <c r="L1079" s="318"/>
      <c r="M1079" s="318"/>
    </row>
    <row r="1080" spans="2:13">
      <c r="B1080" s="515"/>
      <c r="C1080" s="318"/>
      <c r="D1080" s="318"/>
      <c r="E1080" s="318"/>
      <c r="F1080" s="318"/>
      <c r="G1080" s="318"/>
      <c r="H1080" s="318"/>
      <c r="I1080" s="318"/>
      <c r="J1080" s="318"/>
      <c r="K1080" s="318"/>
      <c r="L1080" s="318"/>
      <c r="M1080" s="318"/>
    </row>
    <row r="1081" spans="2:13">
      <c r="B1081" s="515"/>
      <c r="C1081" s="318"/>
      <c r="D1081" s="318"/>
      <c r="E1081" s="318"/>
      <c r="F1081" s="318"/>
      <c r="G1081" s="318"/>
      <c r="H1081" s="318"/>
      <c r="I1081" s="318"/>
      <c r="J1081" s="318"/>
      <c r="K1081" s="318"/>
      <c r="L1081" s="318"/>
      <c r="M1081" s="318"/>
    </row>
    <row r="1082" spans="2:13">
      <c r="B1082" s="515"/>
      <c r="C1082" s="318"/>
      <c r="D1082" s="318"/>
      <c r="E1082" s="318"/>
      <c r="F1082" s="318"/>
      <c r="G1082" s="318"/>
      <c r="H1082" s="318"/>
      <c r="I1082" s="318"/>
      <c r="J1082" s="318"/>
      <c r="K1082" s="318"/>
      <c r="L1082" s="318"/>
      <c r="M1082" s="318"/>
    </row>
    <row r="1083" spans="2:13">
      <c r="B1083" s="515"/>
      <c r="C1083" s="318"/>
      <c r="D1083" s="318"/>
      <c r="E1083" s="318"/>
      <c r="F1083" s="318"/>
      <c r="G1083" s="318"/>
      <c r="H1083" s="318"/>
      <c r="I1083" s="318"/>
      <c r="J1083" s="318"/>
      <c r="K1083" s="318"/>
      <c r="L1083" s="318"/>
      <c r="M1083" s="318"/>
    </row>
    <row r="1084" spans="2:13">
      <c r="B1084" s="515"/>
      <c r="C1084" s="318"/>
      <c r="D1084" s="318"/>
      <c r="E1084" s="318"/>
      <c r="F1084" s="318"/>
      <c r="G1084" s="318"/>
      <c r="H1084" s="318"/>
      <c r="I1084" s="318"/>
      <c r="J1084" s="318"/>
      <c r="K1084" s="318"/>
      <c r="L1084" s="318"/>
      <c r="M1084" s="318"/>
    </row>
    <row r="1085" spans="2:13">
      <c r="B1085" s="515"/>
      <c r="C1085" s="318"/>
      <c r="D1085" s="318"/>
      <c r="E1085" s="318"/>
      <c r="F1085" s="318"/>
      <c r="G1085" s="318"/>
      <c r="H1085" s="318"/>
      <c r="I1085" s="318"/>
      <c r="J1085" s="318"/>
      <c r="K1085" s="318"/>
      <c r="L1085" s="318"/>
      <c r="M1085" s="318"/>
    </row>
    <row r="1086" spans="2:13">
      <c r="B1086" s="515"/>
      <c r="C1086" s="318"/>
      <c r="D1086" s="318"/>
      <c r="E1086" s="318"/>
      <c r="F1086" s="318"/>
      <c r="G1086" s="318"/>
      <c r="H1086" s="318"/>
      <c r="I1086" s="318"/>
      <c r="J1086" s="318"/>
      <c r="K1086" s="318"/>
      <c r="L1086" s="318"/>
      <c r="M1086" s="318"/>
    </row>
    <row r="1087" spans="2:13">
      <c r="B1087" s="515"/>
      <c r="C1087" s="318"/>
      <c r="D1087" s="318"/>
      <c r="E1087" s="318"/>
      <c r="F1087" s="318"/>
      <c r="G1087" s="318"/>
      <c r="H1087" s="318"/>
      <c r="I1087" s="318"/>
      <c r="J1087" s="318"/>
      <c r="K1087" s="318"/>
      <c r="L1087" s="318"/>
      <c r="M1087" s="318"/>
    </row>
    <row r="1088" spans="2:13">
      <c r="B1088" s="515"/>
      <c r="C1088" s="318"/>
      <c r="D1088" s="318"/>
      <c r="E1088" s="318"/>
      <c r="F1088" s="318"/>
      <c r="G1088" s="318"/>
      <c r="H1088" s="318"/>
      <c r="I1088" s="318"/>
      <c r="J1088" s="318"/>
      <c r="K1088" s="318"/>
      <c r="L1088" s="318"/>
      <c r="M1088" s="318"/>
    </row>
    <row r="1089" spans="2:13">
      <c r="B1089" s="515"/>
      <c r="C1089" s="318"/>
      <c r="D1089" s="318"/>
      <c r="E1089" s="318"/>
      <c r="F1089" s="318"/>
      <c r="G1089" s="318"/>
      <c r="H1089" s="318"/>
      <c r="I1089" s="318"/>
      <c r="J1089" s="318"/>
      <c r="K1089" s="318"/>
      <c r="L1089" s="318"/>
      <c r="M1089" s="318"/>
    </row>
    <row r="1090" spans="2:13">
      <c r="B1090" s="515"/>
      <c r="C1090" s="318"/>
      <c r="D1090" s="318"/>
      <c r="E1090" s="318"/>
      <c r="F1090" s="318"/>
      <c r="G1090" s="318"/>
      <c r="H1090" s="318"/>
      <c r="I1090" s="318"/>
      <c r="J1090" s="318"/>
      <c r="K1090" s="318"/>
      <c r="L1090" s="318"/>
      <c r="M1090" s="318"/>
    </row>
    <row r="1091" spans="2:13">
      <c r="B1091" s="515"/>
      <c r="C1091" s="318"/>
      <c r="D1091" s="318"/>
      <c r="E1091" s="318"/>
      <c r="F1091" s="318"/>
      <c r="G1091" s="318"/>
      <c r="H1091" s="318"/>
      <c r="I1091" s="318"/>
      <c r="J1091" s="318"/>
      <c r="K1091" s="318"/>
      <c r="L1091" s="318"/>
      <c r="M1091" s="318"/>
    </row>
    <row r="1092" spans="2:13">
      <c r="B1092" s="515"/>
      <c r="C1092" s="318"/>
      <c r="D1092" s="318"/>
      <c r="E1092" s="318"/>
      <c r="F1092" s="318"/>
      <c r="G1092" s="318"/>
      <c r="H1092" s="318"/>
      <c r="I1092" s="318"/>
      <c r="J1092" s="318"/>
      <c r="K1092" s="318"/>
      <c r="L1092" s="318"/>
      <c r="M1092" s="318"/>
    </row>
    <row r="1093" spans="2:13">
      <c r="B1093" s="515"/>
      <c r="C1093" s="318"/>
      <c r="D1093" s="318"/>
      <c r="E1093" s="318"/>
      <c r="F1093" s="318"/>
      <c r="G1093" s="318"/>
      <c r="H1093" s="318"/>
      <c r="I1093" s="318"/>
      <c r="J1093" s="318"/>
      <c r="K1093" s="318"/>
      <c r="L1093" s="318"/>
      <c r="M1093" s="318"/>
    </row>
    <row r="1094" spans="2:13">
      <c r="B1094" s="515"/>
      <c r="C1094" s="318"/>
      <c r="D1094" s="318"/>
      <c r="E1094" s="318"/>
      <c r="F1094" s="318"/>
      <c r="G1094" s="318"/>
      <c r="H1094" s="318"/>
      <c r="I1094" s="318"/>
      <c r="J1094" s="318"/>
      <c r="K1094" s="318"/>
      <c r="L1094" s="318"/>
      <c r="M1094" s="318"/>
    </row>
    <row r="1095" spans="2:13">
      <c r="B1095" s="515"/>
      <c r="C1095" s="318"/>
      <c r="D1095" s="318"/>
      <c r="E1095" s="318"/>
      <c r="F1095" s="318"/>
      <c r="G1095" s="318"/>
      <c r="H1095" s="318"/>
      <c r="I1095" s="318"/>
      <c r="J1095" s="318"/>
      <c r="K1095" s="318"/>
      <c r="L1095" s="318"/>
      <c r="M1095" s="318"/>
    </row>
    <row r="1096" spans="2:13">
      <c r="B1096" s="515"/>
      <c r="C1096" s="318"/>
      <c r="D1096" s="318"/>
      <c r="E1096" s="318"/>
      <c r="F1096" s="318"/>
      <c r="G1096" s="318"/>
      <c r="H1096" s="318"/>
      <c r="I1096" s="318"/>
      <c r="J1096" s="318"/>
      <c r="K1096" s="318"/>
      <c r="L1096" s="318"/>
      <c r="M1096" s="318"/>
    </row>
    <row r="1097" spans="2:13">
      <c r="B1097" s="515"/>
      <c r="C1097" s="318"/>
      <c r="D1097" s="318"/>
      <c r="E1097" s="318"/>
      <c r="F1097" s="318"/>
      <c r="G1097" s="318"/>
      <c r="H1097" s="318"/>
      <c r="I1097" s="318"/>
      <c r="J1097" s="318"/>
      <c r="K1097" s="318"/>
      <c r="L1097" s="318"/>
      <c r="M1097" s="318"/>
    </row>
    <row r="1098" spans="2:13">
      <c r="B1098" s="515"/>
      <c r="C1098" s="318"/>
      <c r="D1098" s="318"/>
      <c r="E1098" s="318"/>
      <c r="F1098" s="318"/>
      <c r="G1098" s="318"/>
      <c r="H1098" s="318"/>
      <c r="I1098" s="318"/>
      <c r="J1098" s="318"/>
      <c r="K1098" s="318"/>
      <c r="L1098" s="318"/>
      <c r="M1098" s="318"/>
    </row>
    <row r="1099" spans="2:13">
      <c r="B1099" s="515"/>
      <c r="C1099" s="318"/>
      <c r="D1099" s="318"/>
      <c r="E1099" s="318"/>
      <c r="F1099" s="318"/>
      <c r="G1099" s="318"/>
      <c r="H1099" s="318"/>
      <c r="I1099" s="318"/>
      <c r="J1099" s="318"/>
      <c r="K1099" s="318"/>
      <c r="L1099" s="318"/>
      <c r="M1099" s="318"/>
    </row>
    <row r="1100" spans="2:13">
      <c r="B1100" s="515"/>
      <c r="C1100" s="318"/>
      <c r="D1100" s="318"/>
      <c r="E1100" s="318"/>
      <c r="F1100" s="318"/>
      <c r="G1100" s="318"/>
      <c r="H1100" s="318"/>
      <c r="I1100" s="318"/>
      <c r="J1100" s="318"/>
      <c r="K1100" s="318"/>
      <c r="L1100" s="318"/>
      <c r="M1100" s="318"/>
    </row>
    <row r="1101" spans="2:13">
      <c r="B1101" s="515"/>
      <c r="C1101" s="318"/>
      <c r="D1101" s="318"/>
      <c r="E1101" s="318"/>
      <c r="F1101" s="318"/>
      <c r="G1101" s="318"/>
      <c r="H1101" s="318"/>
      <c r="I1101" s="318"/>
      <c r="J1101" s="318"/>
      <c r="K1101" s="318"/>
      <c r="L1101" s="318"/>
      <c r="M1101" s="318"/>
    </row>
    <row r="1102" spans="2:13">
      <c r="B1102" s="515"/>
      <c r="C1102" s="318"/>
      <c r="D1102" s="318"/>
      <c r="E1102" s="318"/>
      <c r="F1102" s="318"/>
      <c r="G1102" s="318"/>
      <c r="H1102" s="318"/>
      <c r="I1102" s="318"/>
      <c r="J1102" s="318"/>
      <c r="K1102" s="318"/>
      <c r="L1102" s="318"/>
      <c r="M1102" s="318"/>
    </row>
    <row r="1103" spans="2:13">
      <c r="B1103" s="515"/>
      <c r="C1103" s="318"/>
      <c r="D1103" s="318"/>
      <c r="E1103" s="318"/>
      <c r="F1103" s="318"/>
      <c r="G1103" s="318"/>
      <c r="H1103" s="318"/>
      <c r="I1103" s="318"/>
      <c r="J1103" s="318"/>
      <c r="K1103" s="318"/>
      <c r="L1103" s="318"/>
      <c r="M1103" s="318"/>
    </row>
    <row r="1104" spans="2:13">
      <c r="B1104" s="515"/>
      <c r="C1104" s="318"/>
      <c r="D1104" s="318"/>
      <c r="E1104" s="318"/>
      <c r="F1104" s="318"/>
      <c r="G1104" s="318"/>
      <c r="H1104" s="318"/>
      <c r="I1104" s="318"/>
      <c r="J1104" s="318"/>
      <c r="K1104" s="318"/>
      <c r="L1104" s="318"/>
      <c r="M1104" s="318"/>
    </row>
    <row r="1105" spans="2:13">
      <c r="B1105" s="515"/>
      <c r="C1105" s="318"/>
      <c r="D1105" s="318"/>
      <c r="E1105" s="318"/>
      <c r="F1105" s="318"/>
      <c r="G1105" s="318"/>
      <c r="H1105" s="318"/>
      <c r="I1105" s="318"/>
      <c r="J1105" s="318"/>
      <c r="K1105" s="318"/>
      <c r="L1105" s="318"/>
      <c r="M1105" s="318"/>
    </row>
    <row r="1106" spans="2:13">
      <c r="B1106" s="515"/>
      <c r="C1106" s="318"/>
      <c r="D1106" s="318"/>
      <c r="E1106" s="318"/>
      <c r="F1106" s="318"/>
      <c r="G1106" s="318"/>
      <c r="H1106" s="318"/>
      <c r="I1106" s="318"/>
      <c r="J1106" s="318"/>
      <c r="K1106" s="318"/>
      <c r="L1106" s="318"/>
      <c r="M1106" s="318"/>
    </row>
    <row r="1107" spans="2:13">
      <c r="B1107" s="515"/>
      <c r="C1107" s="318"/>
      <c r="D1107" s="318"/>
      <c r="E1107" s="318"/>
      <c r="F1107" s="318"/>
      <c r="G1107" s="318"/>
      <c r="H1107" s="318"/>
      <c r="I1107" s="318"/>
      <c r="J1107" s="318"/>
      <c r="K1107" s="318"/>
      <c r="L1107" s="318"/>
      <c r="M1107" s="318"/>
    </row>
    <row r="1108" spans="2:13">
      <c r="B1108" s="515"/>
      <c r="C1108" s="318"/>
      <c r="D1108" s="318"/>
      <c r="E1108" s="318"/>
      <c r="F1108" s="318"/>
      <c r="G1108" s="318"/>
      <c r="H1108" s="318"/>
      <c r="I1108" s="318"/>
      <c r="J1108" s="318"/>
      <c r="K1108" s="318"/>
      <c r="L1108" s="318"/>
      <c r="M1108" s="318"/>
    </row>
    <row r="1109" spans="2:13">
      <c r="B1109" s="515"/>
      <c r="C1109" s="318"/>
      <c r="D1109" s="318"/>
      <c r="E1109" s="318"/>
      <c r="F1109" s="318"/>
      <c r="G1109" s="318"/>
      <c r="H1109" s="318"/>
      <c r="I1109" s="318"/>
      <c r="J1109" s="318"/>
      <c r="K1109" s="318"/>
      <c r="L1109" s="318"/>
      <c r="M1109" s="318"/>
    </row>
    <row r="1110" spans="2:13">
      <c r="B1110" s="515"/>
      <c r="C1110" s="318"/>
      <c r="D1110" s="318"/>
      <c r="E1110" s="318"/>
      <c r="F1110" s="318"/>
      <c r="G1110" s="318"/>
      <c r="H1110" s="318"/>
      <c r="I1110" s="318"/>
      <c r="J1110" s="318"/>
      <c r="K1110" s="318"/>
      <c r="L1110" s="318"/>
      <c r="M1110" s="318"/>
    </row>
    <row r="1111" spans="2:13">
      <c r="B1111" s="515"/>
      <c r="C1111" s="318"/>
      <c r="D1111" s="318"/>
      <c r="E1111" s="318"/>
      <c r="F1111" s="318"/>
      <c r="G1111" s="318"/>
      <c r="H1111" s="318"/>
      <c r="I1111" s="318"/>
      <c r="J1111" s="318"/>
      <c r="K1111" s="318"/>
      <c r="L1111" s="318"/>
      <c r="M1111" s="318"/>
    </row>
    <row r="1112" spans="2:13">
      <c r="B1112" s="515"/>
      <c r="C1112" s="318"/>
      <c r="D1112" s="318"/>
      <c r="E1112" s="318"/>
      <c r="F1112" s="318"/>
      <c r="G1112" s="318"/>
      <c r="H1112" s="318"/>
      <c r="I1112" s="318"/>
      <c r="J1112" s="318"/>
      <c r="K1112" s="318"/>
      <c r="L1112" s="318"/>
      <c r="M1112" s="318"/>
    </row>
    <row r="1113" spans="2:13">
      <c r="B1113" s="515"/>
      <c r="C1113" s="318"/>
      <c r="D1113" s="318"/>
      <c r="E1113" s="318"/>
      <c r="F1113" s="318"/>
      <c r="G1113" s="318"/>
      <c r="H1113" s="318"/>
      <c r="I1113" s="318"/>
      <c r="J1113" s="318"/>
      <c r="K1113" s="318"/>
      <c r="L1113" s="318"/>
      <c r="M1113" s="318"/>
    </row>
    <row r="1114" spans="2:13">
      <c r="B1114" s="515"/>
      <c r="C1114" s="318"/>
      <c r="D1114" s="318"/>
      <c r="E1114" s="318"/>
      <c r="F1114" s="318"/>
      <c r="G1114" s="318"/>
      <c r="H1114" s="318"/>
      <c r="I1114" s="318"/>
      <c r="J1114" s="318"/>
      <c r="K1114" s="318"/>
      <c r="L1114" s="318"/>
      <c r="M1114" s="318"/>
    </row>
    <row r="1115" spans="2:13">
      <c r="B1115" s="515"/>
      <c r="C1115" s="318"/>
      <c r="D1115" s="318"/>
      <c r="E1115" s="318"/>
      <c r="F1115" s="318"/>
      <c r="G1115" s="318"/>
      <c r="H1115" s="318"/>
      <c r="I1115" s="318"/>
      <c r="J1115" s="318"/>
      <c r="K1115" s="318"/>
      <c r="L1115" s="318"/>
      <c r="M1115" s="318"/>
    </row>
    <row r="1116" spans="2:13">
      <c r="B1116" s="515"/>
      <c r="C1116" s="318"/>
      <c r="D1116" s="318"/>
      <c r="E1116" s="318"/>
      <c r="F1116" s="318"/>
      <c r="G1116" s="318"/>
      <c r="H1116" s="318"/>
      <c r="I1116" s="318"/>
      <c r="J1116" s="318"/>
      <c r="K1116" s="318"/>
      <c r="L1116" s="318"/>
      <c r="M1116" s="318"/>
    </row>
    <row r="1117" spans="2:13">
      <c r="B1117" s="515"/>
      <c r="C1117" s="318"/>
      <c r="D1117" s="318"/>
      <c r="E1117" s="318"/>
      <c r="F1117" s="318"/>
      <c r="G1117" s="318"/>
      <c r="H1117" s="318"/>
      <c r="I1117" s="318"/>
      <c r="J1117" s="318"/>
      <c r="K1117" s="318"/>
      <c r="L1117" s="318"/>
      <c r="M1117" s="318"/>
    </row>
    <row r="1118" spans="2:13">
      <c r="B1118" s="515"/>
      <c r="C1118" s="318"/>
      <c r="D1118" s="318"/>
      <c r="E1118" s="318"/>
      <c r="F1118" s="318"/>
      <c r="G1118" s="318"/>
      <c r="H1118" s="318"/>
      <c r="I1118" s="318"/>
      <c r="J1118" s="318"/>
      <c r="K1118" s="318"/>
      <c r="L1118" s="318"/>
      <c r="M1118" s="318"/>
    </row>
    <row r="1119" spans="2:13">
      <c r="B1119" s="515"/>
      <c r="C1119" s="318"/>
      <c r="D1119" s="318"/>
      <c r="E1119" s="318"/>
      <c r="F1119" s="318"/>
      <c r="G1119" s="318"/>
      <c r="H1119" s="318"/>
      <c r="I1119" s="318"/>
      <c r="J1119" s="318"/>
      <c r="K1119" s="318"/>
      <c r="L1119" s="318"/>
      <c r="M1119" s="318"/>
    </row>
    <row r="1120" spans="2:13">
      <c r="B1120" s="515"/>
      <c r="C1120" s="318"/>
      <c r="D1120" s="318"/>
      <c r="E1120" s="318"/>
      <c r="F1120" s="318"/>
      <c r="G1120" s="318"/>
      <c r="H1120" s="318"/>
      <c r="I1120" s="318"/>
      <c r="J1120" s="318"/>
      <c r="K1120" s="318"/>
      <c r="L1120" s="318"/>
      <c r="M1120" s="318"/>
    </row>
    <row r="1121" spans="2:13">
      <c r="B1121" s="515"/>
      <c r="C1121" s="318"/>
      <c r="D1121" s="318"/>
      <c r="E1121" s="318"/>
      <c r="F1121" s="318"/>
      <c r="G1121" s="318"/>
      <c r="H1121" s="318"/>
      <c r="I1121" s="318"/>
      <c r="J1121" s="318"/>
      <c r="K1121" s="318"/>
      <c r="L1121" s="318"/>
      <c r="M1121" s="318"/>
    </row>
    <row r="1122" spans="2:13">
      <c r="B1122" s="515"/>
      <c r="C1122" s="318"/>
      <c r="D1122" s="318"/>
      <c r="E1122" s="318"/>
      <c r="F1122" s="318"/>
      <c r="G1122" s="318"/>
      <c r="H1122" s="318"/>
      <c r="I1122" s="318"/>
      <c r="J1122" s="318"/>
      <c r="K1122" s="318"/>
      <c r="L1122" s="318"/>
      <c r="M1122" s="318"/>
    </row>
    <row r="1123" spans="2:13">
      <c r="B1123" s="515"/>
      <c r="C1123" s="318"/>
      <c r="D1123" s="318"/>
      <c r="E1123" s="318"/>
      <c r="F1123" s="318"/>
      <c r="G1123" s="318"/>
      <c r="H1123" s="318"/>
      <c r="I1123" s="318"/>
      <c r="J1123" s="318"/>
      <c r="K1123" s="318"/>
      <c r="L1123" s="318"/>
      <c r="M1123" s="318"/>
    </row>
    <row r="1124" spans="2:13">
      <c r="B1124" s="515"/>
      <c r="C1124" s="318"/>
      <c r="D1124" s="318"/>
      <c r="E1124" s="318"/>
      <c r="F1124" s="318"/>
      <c r="G1124" s="318"/>
      <c r="H1124" s="318"/>
      <c r="I1124" s="318"/>
      <c r="J1124" s="318"/>
      <c r="K1124" s="318"/>
      <c r="L1124" s="318"/>
      <c r="M1124" s="318"/>
    </row>
    <row r="1125" spans="2:13">
      <c r="B1125" s="515"/>
      <c r="C1125" s="318"/>
      <c r="D1125" s="318"/>
      <c r="E1125" s="318"/>
      <c r="F1125" s="318"/>
      <c r="G1125" s="318"/>
      <c r="H1125" s="318"/>
      <c r="I1125" s="318"/>
      <c r="J1125" s="318"/>
      <c r="K1125" s="318"/>
      <c r="L1125" s="318"/>
      <c r="M1125" s="318"/>
    </row>
    <row r="1126" spans="2:13">
      <c r="B1126" s="515"/>
      <c r="C1126" s="318"/>
      <c r="D1126" s="318"/>
      <c r="E1126" s="318"/>
      <c r="F1126" s="318"/>
      <c r="G1126" s="318"/>
      <c r="H1126" s="318"/>
      <c r="I1126" s="318"/>
      <c r="J1126" s="318"/>
      <c r="K1126" s="318"/>
      <c r="L1126" s="318"/>
      <c r="M1126" s="318"/>
    </row>
    <row r="1127" spans="2:13">
      <c r="B1127" s="515"/>
      <c r="C1127" s="318"/>
      <c r="D1127" s="318"/>
      <c r="E1127" s="318"/>
      <c r="F1127" s="318"/>
      <c r="G1127" s="318"/>
      <c r="H1127" s="318"/>
      <c r="I1127" s="318"/>
      <c r="J1127" s="318"/>
      <c r="K1127" s="318"/>
      <c r="L1127" s="318"/>
      <c r="M1127" s="318"/>
    </row>
    <row r="1128" spans="2:13">
      <c r="B1128" s="515"/>
      <c r="C1128" s="318"/>
      <c r="D1128" s="318"/>
      <c r="E1128" s="318"/>
      <c r="F1128" s="318"/>
      <c r="G1128" s="318"/>
      <c r="H1128" s="318"/>
      <c r="I1128" s="318"/>
      <c r="J1128" s="318"/>
      <c r="K1128" s="318"/>
      <c r="L1128" s="318"/>
      <c r="M1128" s="318"/>
    </row>
    <row r="1129" spans="2:13">
      <c r="B1129" s="515"/>
      <c r="C1129" s="318"/>
      <c r="D1129" s="318"/>
      <c r="E1129" s="318"/>
      <c r="F1129" s="318"/>
      <c r="G1129" s="318"/>
      <c r="H1129" s="318"/>
      <c r="I1129" s="318"/>
      <c r="J1129" s="318"/>
      <c r="K1129" s="318"/>
      <c r="L1129" s="318"/>
      <c r="M1129" s="318"/>
    </row>
    <row r="1130" spans="2:13">
      <c r="B1130" s="515"/>
      <c r="C1130" s="318"/>
      <c r="D1130" s="318"/>
      <c r="E1130" s="318"/>
      <c r="F1130" s="318"/>
      <c r="G1130" s="318"/>
      <c r="H1130" s="318"/>
      <c r="I1130" s="318"/>
      <c r="J1130" s="318"/>
      <c r="K1130" s="318"/>
      <c r="L1130" s="318"/>
      <c r="M1130" s="318"/>
    </row>
    <row r="1131" spans="2:13">
      <c r="B1131" s="515"/>
      <c r="C1131" s="318"/>
      <c r="D1131" s="318"/>
      <c r="E1131" s="318"/>
      <c r="F1131" s="318"/>
      <c r="G1131" s="318"/>
      <c r="H1131" s="318"/>
      <c r="I1131" s="318"/>
      <c r="J1131" s="318"/>
      <c r="K1131" s="318"/>
      <c r="L1131" s="318"/>
      <c r="M1131" s="318"/>
    </row>
    <row r="1132" spans="2:13">
      <c r="B1132" s="515"/>
      <c r="C1132" s="318"/>
      <c r="D1132" s="318"/>
      <c r="E1132" s="318"/>
      <c r="F1132" s="318"/>
      <c r="G1132" s="318"/>
      <c r="H1132" s="318"/>
      <c r="I1132" s="318"/>
      <c r="J1132" s="318"/>
      <c r="K1132" s="318"/>
      <c r="L1132" s="318"/>
      <c r="M1132" s="318"/>
    </row>
    <row r="1133" spans="2:13">
      <c r="B1133" s="515"/>
      <c r="C1133" s="318"/>
      <c r="D1133" s="318"/>
      <c r="E1133" s="318"/>
      <c r="F1133" s="318"/>
      <c r="G1133" s="318"/>
      <c r="H1133" s="318"/>
      <c r="I1133" s="318"/>
      <c r="J1133" s="318"/>
      <c r="K1133" s="318"/>
      <c r="L1133" s="318"/>
      <c r="M1133" s="318"/>
    </row>
    <row r="1134" spans="2:13">
      <c r="B1134" s="515"/>
      <c r="C1134" s="318"/>
      <c r="D1134" s="318"/>
      <c r="E1134" s="318"/>
      <c r="F1134" s="318"/>
      <c r="G1134" s="318"/>
      <c r="H1134" s="318"/>
      <c r="I1134" s="318"/>
      <c r="J1134" s="318"/>
      <c r="K1134" s="318"/>
      <c r="L1134" s="318"/>
      <c r="M1134" s="318"/>
    </row>
    <row r="1135" spans="2:13">
      <c r="B1135" s="515"/>
      <c r="C1135" s="318"/>
      <c r="D1135" s="318"/>
      <c r="E1135" s="318"/>
      <c r="F1135" s="318"/>
      <c r="G1135" s="318"/>
      <c r="H1135" s="318"/>
      <c r="I1135" s="318"/>
      <c r="J1135" s="318"/>
      <c r="K1135" s="318"/>
      <c r="L1135" s="318"/>
      <c r="M1135" s="318"/>
    </row>
    <row r="1136" spans="2:13">
      <c r="B1136" s="515"/>
      <c r="C1136" s="318"/>
      <c r="D1136" s="318"/>
      <c r="E1136" s="318"/>
      <c r="F1136" s="318"/>
      <c r="G1136" s="318"/>
      <c r="H1136" s="318"/>
      <c r="I1136" s="318"/>
      <c r="J1136" s="318"/>
      <c r="K1136" s="318"/>
      <c r="L1136" s="318"/>
      <c r="M1136" s="318"/>
    </row>
    <row r="1137" spans="2:13">
      <c r="B1137" s="515"/>
      <c r="C1137" s="318"/>
      <c r="D1137" s="318"/>
      <c r="E1137" s="318"/>
      <c r="F1137" s="318"/>
      <c r="G1137" s="318"/>
      <c r="H1137" s="318"/>
      <c r="I1137" s="318"/>
      <c r="J1137" s="318"/>
      <c r="K1137" s="318"/>
      <c r="L1137" s="318"/>
      <c r="M1137" s="318"/>
    </row>
    <row r="1138" spans="2:13">
      <c r="B1138" s="515"/>
      <c r="C1138" s="318"/>
      <c r="D1138" s="318"/>
      <c r="E1138" s="318"/>
      <c r="F1138" s="318"/>
      <c r="G1138" s="318"/>
      <c r="H1138" s="318"/>
      <c r="I1138" s="318"/>
      <c r="J1138" s="318"/>
      <c r="K1138" s="318"/>
      <c r="L1138" s="318"/>
      <c r="M1138" s="318"/>
    </row>
    <row r="1139" spans="2:13">
      <c r="B1139" s="515"/>
      <c r="C1139" s="318"/>
      <c r="D1139" s="318"/>
      <c r="E1139" s="318"/>
      <c r="F1139" s="318"/>
      <c r="G1139" s="318"/>
      <c r="H1139" s="318"/>
      <c r="I1139" s="318"/>
      <c r="J1139" s="318"/>
      <c r="K1139" s="318"/>
      <c r="L1139" s="318"/>
      <c r="M1139" s="318"/>
    </row>
    <row r="1140" spans="2:13">
      <c r="B1140" s="515"/>
      <c r="C1140" s="318"/>
      <c r="D1140" s="318"/>
      <c r="E1140" s="318"/>
      <c r="F1140" s="318"/>
      <c r="G1140" s="318"/>
      <c r="H1140" s="318"/>
      <c r="I1140" s="318"/>
      <c r="J1140" s="318"/>
      <c r="K1140" s="318"/>
      <c r="L1140" s="318"/>
      <c r="M1140" s="318"/>
    </row>
    <row r="1141" spans="2:13">
      <c r="B1141" s="515"/>
      <c r="C1141" s="318"/>
      <c r="D1141" s="318"/>
      <c r="E1141" s="318"/>
      <c r="F1141" s="318"/>
      <c r="G1141" s="318"/>
      <c r="H1141" s="318"/>
      <c r="I1141" s="318"/>
      <c r="J1141" s="318"/>
      <c r="K1141" s="318"/>
      <c r="L1141" s="318"/>
      <c r="M1141" s="318"/>
    </row>
    <row r="1142" spans="2:13">
      <c r="B1142" s="515"/>
      <c r="C1142" s="318"/>
      <c r="D1142" s="318"/>
      <c r="E1142" s="318"/>
      <c r="F1142" s="318"/>
      <c r="G1142" s="318"/>
      <c r="H1142" s="318"/>
      <c r="I1142" s="318"/>
      <c r="J1142" s="318"/>
      <c r="K1142" s="318"/>
      <c r="L1142" s="318"/>
      <c r="M1142" s="318"/>
    </row>
    <row r="1143" spans="2:13">
      <c r="B1143" s="515"/>
      <c r="C1143" s="318"/>
      <c r="D1143" s="318"/>
      <c r="E1143" s="318"/>
      <c r="F1143" s="318"/>
      <c r="G1143" s="318"/>
      <c r="H1143" s="318"/>
      <c r="I1143" s="318"/>
      <c r="J1143" s="318"/>
      <c r="K1143" s="318"/>
      <c r="L1143" s="318"/>
      <c r="M1143" s="318"/>
    </row>
    <row r="1144" spans="2:13">
      <c r="B1144" s="515"/>
      <c r="C1144" s="318"/>
      <c r="D1144" s="318"/>
      <c r="E1144" s="318"/>
      <c r="F1144" s="318"/>
      <c r="G1144" s="318"/>
      <c r="H1144" s="318"/>
      <c r="I1144" s="318"/>
      <c r="J1144" s="318"/>
      <c r="K1144" s="318"/>
      <c r="L1144" s="318"/>
      <c r="M1144" s="318"/>
    </row>
    <row r="1145" spans="2:13">
      <c r="B1145" s="515"/>
      <c r="C1145" s="318"/>
      <c r="D1145" s="318"/>
      <c r="E1145" s="318"/>
      <c r="F1145" s="318"/>
      <c r="G1145" s="318"/>
      <c r="H1145" s="318"/>
      <c r="I1145" s="318"/>
      <c r="J1145" s="318"/>
      <c r="K1145" s="318"/>
      <c r="L1145" s="318"/>
      <c r="M1145" s="318"/>
    </row>
    <row r="1146" spans="2:13">
      <c r="B1146" s="515"/>
      <c r="C1146" s="318"/>
      <c r="D1146" s="318"/>
      <c r="E1146" s="318"/>
      <c r="F1146" s="318"/>
      <c r="G1146" s="318"/>
      <c r="H1146" s="318"/>
      <c r="I1146" s="318"/>
      <c r="J1146" s="318"/>
      <c r="K1146" s="318"/>
      <c r="L1146" s="318"/>
      <c r="M1146" s="318"/>
    </row>
    <row r="1147" spans="2:13">
      <c r="B1147" s="515"/>
      <c r="C1147" s="318"/>
      <c r="D1147" s="318"/>
      <c r="E1147" s="318"/>
      <c r="F1147" s="318"/>
      <c r="G1147" s="318"/>
      <c r="H1147" s="318"/>
      <c r="I1147" s="318"/>
      <c r="J1147" s="318"/>
      <c r="K1147" s="318"/>
      <c r="L1147" s="318"/>
      <c r="M1147" s="318"/>
    </row>
    <row r="1148" spans="2:13">
      <c r="B1148" s="515"/>
      <c r="C1148" s="318"/>
      <c r="D1148" s="318"/>
      <c r="E1148" s="318"/>
      <c r="F1148" s="318"/>
      <c r="G1148" s="318"/>
      <c r="H1148" s="318"/>
      <c r="I1148" s="318"/>
      <c r="J1148" s="318"/>
      <c r="K1148" s="318"/>
      <c r="L1148" s="318"/>
      <c r="M1148" s="318"/>
    </row>
    <row r="1149" spans="2:13">
      <c r="B1149" s="515"/>
      <c r="C1149" s="318"/>
      <c r="D1149" s="318"/>
      <c r="E1149" s="318"/>
      <c r="F1149" s="318"/>
      <c r="G1149" s="318"/>
      <c r="H1149" s="318"/>
      <c r="I1149" s="318"/>
      <c r="J1149" s="318"/>
      <c r="K1149" s="318"/>
      <c r="L1149" s="318"/>
      <c r="M1149" s="318"/>
    </row>
    <row r="1150" spans="2:13">
      <c r="B1150" s="515"/>
      <c r="C1150" s="318"/>
      <c r="D1150" s="318"/>
      <c r="E1150" s="318"/>
      <c r="F1150" s="318"/>
      <c r="G1150" s="318"/>
      <c r="H1150" s="318"/>
      <c r="I1150" s="318"/>
      <c r="J1150" s="318"/>
      <c r="K1150" s="318"/>
      <c r="L1150" s="318"/>
      <c r="M1150" s="318"/>
    </row>
    <row r="1151" spans="2:13">
      <c r="B1151" s="515"/>
      <c r="C1151" s="318"/>
      <c r="D1151" s="318"/>
      <c r="E1151" s="318"/>
      <c r="F1151" s="318"/>
      <c r="G1151" s="318"/>
      <c r="H1151" s="318"/>
      <c r="I1151" s="318"/>
      <c r="J1151" s="318"/>
      <c r="K1151" s="318"/>
      <c r="L1151" s="318"/>
      <c r="M1151" s="318"/>
    </row>
    <row r="1152" spans="2:13">
      <c r="B1152" s="515"/>
      <c r="C1152" s="318"/>
      <c r="D1152" s="318"/>
      <c r="E1152" s="318"/>
      <c r="F1152" s="318"/>
      <c r="G1152" s="318"/>
      <c r="H1152" s="318"/>
      <c r="I1152" s="318"/>
      <c r="J1152" s="318"/>
      <c r="K1152" s="318"/>
      <c r="L1152" s="318"/>
      <c r="M1152" s="318"/>
    </row>
    <row r="1153" spans="2:13">
      <c r="B1153" s="515"/>
      <c r="C1153" s="318"/>
      <c r="D1153" s="318"/>
      <c r="E1153" s="318"/>
      <c r="F1153" s="318"/>
      <c r="G1153" s="318"/>
      <c r="H1153" s="318"/>
      <c r="I1153" s="318"/>
      <c r="J1153" s="318"/>
      <c r="K1153" s="318"/>
      <c r="L1153" s="318"/>
      <c r="M1153" s="318"/>
    </row>
    <row r="1154" spans="2:13">
      <c r="B1154" s="515"/>
      <c r="C1154" s="318"/>
      <c r="D1154" s="318"/>
      <c r="E1154" s="318"/>
      <c r="F1154" s="318"/>
      <c r="G1154" s="318"/>
      <c r="H1154" s="318"/>
      <c r="I1154" s="318"/>
      <c r="J1154" s="318"/>
      <c r="K1154" s="318"/>
      <c r="L1154" s="318"/>
      <c r="M1154" s="318"/>
    </row>
    <row r="1155" spans="2:13">
      <c r="B1155" s="515"/>
      <c r="C1155" s="318"/>
      <c r="D1155" s="318"/>
      <c r="E1155" s="318"/>
      <c r="F1155" s="318"/>
      <c r="G1155" s="318"/>
      <c r="H1155" s="318"/>
      <c r="I1155" s="318"/>
      <c r="J1155" s="318"/>
      <c r="K1155" s="318"/>
      <c r="L1155" s="318"/>
      <c r="M1155" s="318"/>
    </row>
    <row r="1156" spans="2:13">
      <c r="B1156" s="515"/>
      <c r="C1156" s="318"/>
      <c r="D1156" s="318"/>
      <c r="E1156" s="318"/>
      <c r="F1156" s="318"/>
      <c r="G1156" s="318"/>
      <c r="H1156" s="318"/>
      <c r="I1156" s="318"/>
      <c r="J1156" s="318"/>
      <c r="K1156" s="318"/>
      <c r="L1156" s="318"/>
      <c r="M1156" s="318"/>
    </row>
    <row r="1157" spans="2:13">
      <c r="B1157" s="515"/>
      <c r="C1157" s="318"/>
      <c r="D1157" s="318"/>
      <c r="E1157" s="318"/>
      <c r="F1157" s="318"/>
      <c r="G1157" s="318"/>
      <c r="H1157" s="318"/>
      <c r="I1157" s="318"/>
      <c r="J1157" s="318"/>
      <c r="K1157" s="318"/>
      <c r="L1157" s="318"/>
      <c r="M1157" s="318"/>
    </row>
    <row r="1158" spans="2:13">
      <c r="B1158" s="515"/>
      <c r="C1158" s="318"/>
      <c r="D1158" s="318"/>
      <c r="E1158" s="318"/>
      <c r="F1158" s="318"/>
      <c r="G1158" s="318"/>
      <c r="H1158" s="318"/>
      <c r="I1158" s="318"/>
      <c r="J1158" s="318"/>
      <c r="K1158" s="318"/>
      <c r="L1158" s="318"/>
      <c r="M1158" s="318"/>
    </row>
    <row r="1159" spans="2:13">
      <c r="B1159" s="515"/>
      <c r="C1159" s="318"/>
      <c r="D1159" s="318"/>
      <c r="E1159" s="318"/>
      <c r="F1159" s="318"/>
      <c r="G1159" s="318"/>
      <c r="H1159" s="318"/>
      <c r="I1159" s="318"/>
      <c r="J1159" s="318"/>
      <c r="K1159" s="318"/>
      <c r="L1159" s="318"/>
      <c r="M1159" s="318"/>
    </row>
    <row r="1160" spans="2:13">
      <c r="B1160" s="515"/>
      <c r="C1160" s="318"/>
      <c r="D1160" s="318"/>
      <c r="E1160" s="318"/>
      <c r="F1160" s="318"/>
      <c r="G1160" s="318"/>
      <c r="H1160" s="318"/>
      <c r="I1160" s="318"/>
      <c r="J1160" s="318"/>
      <c r="K1160" s="318"/>
      <c r="L1160" s="318"/>
      <c r="M1160" s="318"/>
    </row>
    <row r="1161" spans="2:13">
      <c r="B1161" s="515"/>
      <c r="C1161" s="318"/>
      <c r="D1161" s="318"/>
      <c r="E1161" s="318"/>
      <c r="F1161" s="318"/>
      <c r="G1161" s="318"/>
      <c r="H1161" s="318"/>
      <c r="I1161" s="318"/>
      <c r="J1161" s="318"/>
      <c r="K1161" s="318"/>
      <c r="L1161" s="318"/>
      <c r="M1161" s="318"/>
    </row>
    <row r="1162" spans="2:13">
      <c r="B1162" s="515"/>
      <c r="C1162" s="318"/>
      <c r="D1162" s="318"/>
      <c r="E1162" s="318"/>
      <c r="F1162" s="318"/>
      <c r="G1162" s="318"/>
      <c r="H1162" s="318"/>
      <c r="I1162" s="318"/>
      <c r="J1162" s="318"/>
      <c r="K1162" s="318"/>
      <c r="L1162" s="318"/>
      <c r="M1162" s="318"/>
    </row>
    <row r="1163" spans="2:13">
      <c r="B1163" s="515"/>
      <c r="C1163" s="318"/>
      <c r="D1163" s="318"/>
      <c r="E1163" s="318"/>
      <c r="F1163" s="318"/>
      <c r="G1163" s="318"/>
      <c r="H1163" s="318"/>
      <c r="I1163" s="318"/>
      <c r="J1163" s="318"/>
      <c r="K1163" s="318"/>
      <c r="L1163" s="318"/>
      <c r="M1163" s="318"/>
    </row>
    <row r="1164" spans="2:13">
      <c r="B1164" s="515"/>
      <c r="C1164" s="318"/>
      <c r="D1164" s="318"/>
      <c r="E1164" s="318"/>
      <c r="F1164" s="318"/>
      <c r="G1164" s="318"/>
      <c r="H1164" s="318"/>
      <c r="I1164" s="318"/>
      <c r="J1164" s="318"/>
      <c r="K1164" s="318"/>
      <c r="L1164" s="318"/>
      <c r="M1164" s="318"/>
    </row>
    <row r="1165" spans="2:13">
      <c r="B1165" s="515"/>
      <c r="C1165" s="318"/>
      <c r="D1165" s="318"/>
      <c r="E1165" s="318"/>
      <c r="F1165" s="318"/>
      <c r="G1165" s="318"/>
      <c r="H1165" s="318"/>
      <c r="I1165" s="318"/>
      <c r="J1165" s="318"/>
      <c r="K1165" s="318"/>
      <c r="L1165" s="318"/>
      <c r="M1165" s="318"/>
    </row>
    <row r="1166" spans="2:13">
      <c r="B1166" s="515"/>
      <c r="C1166" s="318"/>
      <c r="D1166" s="318"/>
      <c r="E1166" s="318"/>
      <c r="F1166" s="318"/>
      <c r="G1166" s="318"/>
      <c r="H1166" s="318"/>
      <c r="I1166" s="318"/>
      <c r="J1166" s="318"/>
      <c r="K1166" s="318"/>
      <c r="L1166" s="318"/>
      <c r="M1166" s="318"/>
    </row>
    <row r="1167" spans="2:13">
      <c r="B1167" s="515"/>
      <c r="C1167" s="318"/>
      <c r="D1167" s="318"/>
      <c r="E1167" s="318"/>
      <c r="F1167" s="318"/>
      <c r="G1167" s="318"/>
      <c r="H1167" s="318"/>
      <c r="I1167" s="318"/>
      <c r="J1167" s="318"/>
      <c r="K1167" s="318"/>
      <c r="L1167" s="318"/>
      <c r="M1167" s="318"/>
    </row>
    <row r="1168" spans="2:13">
      <c r="B1168" s="515"/>
      <c r="C1168" s="318"/>
      <c r="D1168" s="318"/>
      <c r="E1168" s="318"/>
      <c r="F1168" s="318"/>
      <c r="G1168" s="318"/>
      <c r="H1168" s="318"/>
      <c r="I1168" s="318"/>
      <c r="J1168" s="318"/>
      <c r="K1168" s="318"/>
      <c r="L1168" s="318"/>
      <c r="M1168" s="318"/>
    </row>
    <row r="1169" spans="2:13">
      <c r="B1169" s="515"/>
      <c r="C1169" s="318"/>
      <c r="D1169" s="318"/>
      <c r="E1169" s="318"/>
      <c r="F1169" s="318"/>
      <c r="G1169" s="318"/>
      <c r="H1169" s="318"/>
      <c r="I1169" s="318"/>
      <c r="J1169" s="318"/>
      <c r="K1169" s="318"/>
      <c r="L1169" s="318"/>
      <c r="M1169" s="318"/>
    </row>
    <row r="1170" spans="2:13">
      <c r="B1170" s="515"/>
      <c r="C1170" s="318"/>
      <c r="D1170" s="318"/>
      <c r="E1170" s="318"/>
      <c r="F1170" s="318"/>
      <c r="G1170" s="318"/>
      <c r="H1170" s="318"/>
      <c r="I1170" s="318"/>
      <c r="J1170" s="318"/>
      <c r="K1170" s="318"/>
      <c r="L1170" s="318"/>
      <c r="M1170" s="318"/>
    </row>
    <row r="1171" spans="2:13">
      <c r="B1171" s="515"/>
      <c r="C1171" s="318"/>
      <c r="D1171" s="318"/>
      <c r="E1171" s="318"/>
      <c r="F1171" s="318"/>
      <c r="G1171" s="318"/>
      <c r="H1171" s="318"/>
      <c r="I1171" s="318"/>
      <c r="J1171" s="318"/>
      <c r="K1171" s="318"/>
      <c r="L1171" s="318"/>
      <c r="M1171" s="318"/>
    </row>
    <row r="1172" spans="2:13">
      <c r="B1172" s="515"/>
      <c r="C1172" s="318"/>
      <c r="D1172" s="318"/>
      <c r="E1172" s="318"/>
      <c r="F1172" s="318"/>
      <c r="G1172" s="318"/>
      <c r="H1172" s="318"/>
      <c r="I1172" s="318"/>
      <c r="J1172" s="318"/>
      <c r="K1172" s="318"/>
      <c r="L1172" s="318"/>
      <c r="M1172" s="318"/>
    </row>
    <row r="1173" spans="2:13">
      <c r="B1173" s="515"/>
      <c r="C1173" s="318"/>
      <c r="D1173" s="318"/>
      <c r="E1173" s="318"/>
      <c r="F1173" s="318"/>
      <c r="G1173" s="318"/>
      <c r="H1173" s="318"/>
      <c r="I1173" s="318"/>
      <c r="J1173" s="318"/>
      <c r="K1173" s="318"/>
      <c r="L1173" s="318"/>
      <c r="M1173" s="318"/>
    </row>
    <row r="1174" spans="2:13">
      <c r="B1174" s="515"/>
      <c r="C1174" s="318"/>
      <c r="D1174" s="318"/>
      <c r="E1174" s="318"/>
      <c r="F1174" s="318"/>
      <c r="G1174" s="318"/>
      <c r="H1174" s="318"/>
      <c r="I1174" s="318"/>
      <c r="J1174" s="318"/>
      <c r="K1174" s="318"/>
      <c r="L1174" s="318"/>
      <c r="M1174" s="318"/>
    </row>
    <row r="1175" spans="2:13">
      <c r="B1175" s="515"/>
      <c r="C1175" s="318"/>
      <c r="D1175" s="318"/>
      <c r="E1175" s="318"/>
      <c r="F1175" s="318"/>
      <c r="G1175" s="318"/>
      <c r="H1175" s="318"/>
      <c r="I1175" s="318"/>
      <c r="J1175" s="318"/>
      <c r="K1175" s="318"/>
      <c r="L1175" s="318"/>
      <c r="M1175" s="318"/>
    </row>
    <row r="1176" spans="2:13">
      <c r="B1176" s="515"/>
      <c r="C1176" s="318"/>
      <c r="D1176" s="318"/>
      <c r="E1176" s="318"/>
      <c r="F1176" s="318"/>
      <c r="G1176" s="318"/>
      <c r="H1176" s="318"/>
      <c r="I1176" s="318"/>
      <c r="J1176" s="318"/>
      <c r="K1176" s="318"/>
      <c r="L1176" s="318"/>
      <c r="M1176" s="318"/>
    </row>
    <row r="1177" spans="2:13">
      <c r="B1177" s="515"/>
      <c r="C1177" s="318"/>
      <c r="D1177" s="318"/>
      <c r="E1177" s="318"/>
      <c r="F1177" s="318"/>
      <c r="G1177" s="318"/>
      <c r="H1177" s="318"/>
      <c r="I1177" s="318"/>
      <c r="J1177" s="318"/>
      <c r="K1177" s="318"/>
      <c r="L1177" s="318"/>
      <c r="M1177" s="318"/>
    </row>
    <row r="1178" spans="2:13">
      <c r="B1178" s="515"/>
      <c r="C1178" s="318"/>
      <c r="D1178" s="318"/>
      <c r="E1178" s="318"/>
      <c r="F1178" s="318"/>
      <c r="G1178" s="318"/>
      <c r="H1178" s="318"/>
      <c r="I1178" s="318"/>
      <c r="J1178" s="318"/>
      <c r="K1178" s="318"/>
      <c r="L1178" s="318"/>
      <c r="M1178" s="318"/>
    </row>
    <row r="1179" spans="2:13">
      <c r="B1179" s="515"/>
      <c r="C1179" s="318"/>
      <c r="D1179" s="318"/>
      <c r="E1179" s="318"/>
      <c r="F1179" s="318"/>
      <c r="G1179" s="318"/>
      <c r="H1179" s="318"/>
      <c r="I1179" s="318"/>
      <c r="J1179" s="318"/>
      <c r="K1179" s="318"/>
      <c r="L1179" s="318"/>
      <c r="M1179" s="318"/>
    </row>
    <row r="1180" spans="2:13">
      <c r="B1180" s="515"/>
      <c r="C1180" s="318"/>
      <c r="D1180" s="318"/>
      <c r="E1180" s="318"/>
      <c r="F1180" s="318"/>
      <c r="G1180" s="318"/>
      <c r="H1180" s="318"/>
      <c r="I1180" s="318"/>
      <c r="J1180" s="318"/>
      <c r="K1180" s="318"/>
      <c r="L1180" s="318"/>
      <c r="M1180" s="318"/>
    </row>
    <row r="1181" spans="2:13">
      <c r="B1181" s="515"/>
      <c r="C1181" s="318"/>
      <c r="D1181" s="318"/>
      <c r="E1181" s="318"/>
      <c r="F1181" s="318"/>
      <c r="G1181" s="318"/>
      <c r="H1181" s="318"/>
      <c r="I1181" s="318"/>
      <c r="J1181" s="318"/>
      <c r="K1181" s="318"/>
      <c r="L1181" s="318"/>
      <c r="M1181" s="318"/>
    </row>
    <row r="1182" spans="2:13">
      <c r="B1182" s="515"/>
      <c r="C1182" s="318"/>
      <c r="D1182" s="318"/>
      <c r="E1182" s="318"/>
      <c r="F1182" s="318"/>
      <c r="G1182" s="318"/>
      <c r="H1182" s="318"/>
      <c r="I1182" s="318"/>
      <c r="J1182" s="318"/>
      <c r="K1182" s="318"/>
      <c r="L1182" s="318"/>
      <c r="M1182" s="318"/>
    </row>
    <row r="1183" spans="2:13">
      <c r="B1183" s="515"/>
      <c r="C1183" s="318"/>
      <c r="D1183" s="318"/>
      <c r="E1183" s="318"/>
      <c r="F1183" s="318"/>
      <c r="G1183" s="318"/>
      <c r="H1183" s="318"/>
      <c r="I1183" s="318"/>
      <c r="J1183" s="318"/>
      <c r="K1183" s="318"/>
      <c r="L1183" s="318"/>
      <c r="M1183" s="318"/>
    </row>
    <row r="1184" spans="2:13">
      <c r="B1184" s="515"/>
      <c r="C1184" s="318"/>
      <c r="D1184" s="318"/>
      <c r="E1184" s="318"/>
      <c r="F1184" s="318"/>
      <c r="G1184" s="318"/>
      <c r="H1184" s="318"/>
      <c r="I1184" s="318"/>
      <c r="J1184" s="318"/>
      <c r="K1184" s="318"/>
      <c r="L1184" s="318"/>
      <c r="M1184" s="318"/>
    </row>
    <row r="1185" spans="2:13">
      <c r="B1185" s="515"/>
      <c r="C1185" s="318"/>
      <c r="D1185" s="318"/>
      <c r="E1185" s="318"/>
      <c r="F1185" s="318"/>
      <c r="G1185" s="318"/>
      <c r="H1185" s="318"/>
      <c r="I1185" s="318"/>
      <c r="J1185" s="318"/>
      <c r="K1185" s="318"/>
      <c r="L1185" s="318"/>
      <c r="M1185" s="318"/>
    </row>
    <row r="1186" spans="2:13">
      <c r="B1186" s="515"/>
      <c r="C1186" s="318"/>
      <c r="D1186" s="318"/>
      <c r="E1186" s="318"/>
      <c r="F1186" s="318"/>
      <c r="G1186" s="318"/>
      <c r="H1186" s="318"/>
      <c r="I1186" s="318"/>
      <c r="J1186" s="318"/>
      <c r="K1186" s="318"/>
      <c r="L1186" s="318"/>
      <c r="M1186" s="318"/>
    </row>
    <row r="1187" spans="2:13">
      <c r="B1187" s="515"/>
      <c r="C1187" s="318"/>
      <c r="D1187" s="318"/>
      <c r="E1187" s="318"/>
      <c r="F1187" s="318"/>
      <c r="G1187" s="318"/>
      <c r="H1187" s="318"/>
      <c r="I1187" s="318"/>
      <c r="J1187" s="318"/>
      <c r="K1187" s="318"/>
      <c r="L1187" s="318"/>
      <c r="M1187" s="318"/>
    </row>
    <row r="1188" spans="2:13">
      <c r="B1188" s="515"/>
      <c r="C1188" s="318"/>
      <c r="D1188" s="318"/>
      <c r="E1188" s="318"/>
      <c r="F1188" s="318"/>
      <c r="G1188" s="318"/>
      <c r="H1188" s="318"/>
      <c r="I1188" s="318"/>
      <c r="J1188" s="318"/>
      <c r="K1188" s="318"/>
      <c r="L1188" s="318"/>
      <c r="M1188" s="318"/>
    </row>
    <row r="1189" spans="2:13">
      <c r="B1189" s="515"/>
      <c r="C1189" s="318"/>
      <c r="D1189" s="318"/>
      <c r="E1189" s="318"/>
      <c r="F1189" s="318"/>
      <c r="G1189" s="318"/>
      <c r="H1189" s="318"/>
      <c r="I1189" s="318"/>
      <c r="J1189" s="318"/>
      <c r="K1189" s="318"/>
      <c r="L1189" s="318"/>
      <c r="M1189" s="318"/>
    </row>
    <row r="1190" spans="2:13">
      <c r="B1190" s="515"/>
      <c r="C1190" s="318"/>
      <c r="D1190" s="318"/>
      <c r="E1190" s="318"/>
      <c r="F1190" s="318"/>
      <c r="G1190" s="318"/>
      <c r="H1190" s="318"/>
      <c r="I1190" s="318"/>
      <c r="J1190" s="318"/>
      <c r="K1190" s="318"/>
      <c r="L1190" s="318"/>
      <c r="M1190" s="318"/>
    </row>
    <row r="1191" spans="2:13">
      <c r="B1191" s="515"/>
      <c r="C1191" s="318"/>
      <c r="D1191" s="318"/>
      <c r="E1191" s="318"/>
      <c r="F1191" s="318"/>
      <c r="G1191" s="318"/>
      <c r="H1191" s="318"/>
      <c r="I1191" s="318"/>
      <c r="J1191" s="318"/>
      <c r="K1191" s="318"/>
      <c r="L1191" s="318"/>
      <c r="M1191" s="318"/>
    </row>
    <row r="1192" spans="2:13">
      <c r="B1192" s="515"/>
      <c r="C1192" s="318"/>
      <c r="D1192" s="318"/>
      <c r="E1192" s="318"/>
      <c r="F1192" s="318"/>
      <c r="G1192" s="318"/>
      <c r="H1192" s="318"/>
      <c r="I1192" s="318"/>
      <c r="J1192" s="318"/>
      <c r="K1192" s="318"/>
      <c r="L1192" s="318"/>
      <c r="M1192" s="318"/>
    </row>
    <row r="1193" spans="2:13">
      <c r="B1193" s="515"/>
      <c r="C1193" s="318"/>
      <c r="D1193" s="318"/>
      <c r="E1193" s="318"/>
      <c r="F1193" s="318"/>
      <c r="G1193" s="318"/>
      <c r="H1193" s="318"/>
      <c r="I1193" s="318"/>
      <c r="J1193" s="318"/>
      <c r="K1193" s="318"/>
      <c r="L1193" s="318"/>
      <c r="M1193" s="318"/>
    </row>
    <row r="1194" spans="2:13">
      <c r="B1194" s="515"/>
      <c r="C1194" s="318"/>
      <c r="D1194" s="318"/>
      <c r="E1194" s="318"/>
      <c r="F1194" s="318"/>
      <c r="G1194" s="318"/>
      <c r="H1194" s="318"/>
      <c r="I1194" s="318"/>
      <c r="J1194" s="318"/>
      <c r="K1194" s="318"/>
      <c r="L1194" s="318"/>
      <c r="M1194" s="318"/>
    </row>
    <row r="1195" spans="2:13">
      <c r="B1195" s="515"/>
      <c r="C1195" s="318"/>
      <c r="D1195" s="318"/>
      <c r="E1195" s="318"/>
      <c r="F1195" s="318"/>
      <c r="G1195" s="318"/>
      <c r="H1195" s="318"/>
      <c r="I1195" s="318"/>
      <c r="J1195" s="318"/>
      <c r="K1195" s="318"/>
      <c r="L1195" s="318"/>
      <c r="M1195" s="318"/>
    </row>
    <row r="1196" spans="2:13">
      <c r="B1196" s="515"/>
      <c r="C1196" s="318"/>
      <c r="D1196" s="318"/>
      <c r="E1196" s="318"/>
      <c r="F1196" s="318"/>
      <c r="G1196" s="318"/>
      <c r="H1196" s="318"/>
      <c r="I1196" s="318"/>
      <c r="J1196" s="318"/>
      <c r="K1196" s="318"/>
      <c r="L1196" s="318"/>
      <c r="M1196" s="318"/>
    </row>
    <row r="1197" spans="2:13">
      <c r="B1197" s="515"/>
      <c r="C1197" s="318"/>
      <c r="D1197" s="318"/>
      <c r="E1197" s="318"/>
      <c r="F1197" s="318"/>
      <c r="G1197" s="318"/>
      <c r="H1197" s="318"/>
      <c r="I1197" s="318"/>
      <c r="J1197" s="318"/>
      <c r="K1197" s="318"/>
      <c r="L1197" s="318"/>
      <c r="M1197" s="318"/>
    </row>
    <row r="1198" spans="2:13">
      <c r="B1198" s="515"/>
      <c r="C1198" s="318"/>
      <c r="D1198" s="318"/>
      <c r="E1198" s="318"/>
      <c r="F1198" s="318"/>
      <c r="G1198" s="318"/>
      <c r="H1198" s="318"/>
      <c r="I1198" s="318"/>
      <c r="J1198" s="318"/>
      <c r="K1198" s="318"/>
      <c r="L1198" s="318"/>
      <c r="M1198" s="318"/>
    </row>
    <row r="1199" spans="2:13">
      <c r="B1199" s="515"/>
      <c r="C1199" s="318"/>
      <c r="D1199" s="318"/>
      <c r="E1199" s="318"/>
      <c r="F1199" s="318"/>
      <c r="G1199" s="318"/>
      <c r="H1199" s="318"/>
      <c r="I1199" s="318"/>
      <c r="J1199" s="318"/>
      <c r="K1199" s="318"/>
      <c r="L1199" s="318"/>
      <c r="M1199" s="318"/>
    </row>
    <row r="1200" spans="2:13">
      <c r="B1200" s="515"/>
      <c r="C1200" s="318"/>
      <c r="D1200" s="318"/>
      <c r="E1200" s="318"/>
      <c r="F1200" s="318"/>
      <c r="G1200" s="318"/>
      <c r="H1200" s="318"/>
      <c r="I1200" s="318"/>
      <c r="J1200" s="318"/>
      <c r="K1200" s="318"/>
      <c r="L1200" s="318"/>
      <c r="M1200" s="318"/>
    </row>
    <row r="1201" spans="2:13">
      <c r="B1201" s="515"/>
      <c r="C1201" s="318"/>
      <c r="D1201" s="318"/>
      <c r="E1201" s="318"/>
      <c r="F1201" s="318"/>
      <c r="G1201" s="318"/>
      <c r="H1201" s="318"/>
      <c r="I1201" s="318"/>
      <c r="J1201" s="318"/>
      <c r="K1201" s="318"/>
      <c r="L1201" s="318"/>
      <c r="M1201" s="318"/>
    </row>
    <row r="1202" spans="2:13">
      <c r="B1202" s="515"/>
      <c r="C1202" s="318"/>
      <c r="D1202" s="318"/>
      <c r="E1202" s="318"/>
      <c r="F1202" s="318"/>
      <c r="G1202" s="318"/>
      <c r="H1202" s="318"/>
      <c r="I1202" s="318"/>
      <c r="J1202" s="318"/>
      <c r="K1202" s="318"/>
      <c r="L1202" s="318"/>
      <c r="M1202" s="318"/>
    </row>
    <row r="1203" spans="2:13">
      <c r="B1203" s="515"/>
      <c r="C1203" s="318"/>
      <c r="D1203" s="318"/>
      <c r="E1203" s="318"/>
      <c r="F1203" s="318"/>
      <c r="G1203" s="318"/>
      <c r="H1203" s="318"/>
      <c r="I1203" s="318"/>
      <c r="J1203" s="318"/>
      <c r="K1203" s="318"/>
      <c r="L1203" s="318"/>
      <c r="M1203" s="318"/>
    </row>
    <row r="1204" spans="2:13">
      <c r="B1204" s="515"/>
      <c r="C1204" s="318"/>
      <c r="D1204" s="318"/>
      <c r="E1204" s="318"/>
      <c r="F1204" s="318"/>
      <c r="G1204" s="318"/>
      <c r="H1204" s="318"/>
      <c r="I1204" s="318"/>
      <c r="J1204" s="318"/>
      <c r="K1204" s="318"/>
      <c r="L1204" s="318"/>
      <c r="M1204" s="318"/>
    </row>
    <row r="1205" spans="2:13">
      <c r="B1205" s="515"/>
      <c r="C1205" s="318"/>
      <c r="D1205" s="318"/>
      <c r="E1205" s="318"/>
      <c r="F1205" s="318"/>
      <c r="G1205" s="318"/>
      <c r="H1205" s="318"/>
      <c r="I1205" s="318"/>
      <c r="J1205" s="318"/>
      <c r="K1205" s="318"/>
      <c r="L1205" s="318"/>
      <c r="M1205" s="318"/>
    </row>
    <row r="1206" spans="2:13">
      <c r="B1206" s="515"/>
      <c r="C1206" s="318"/>
      <c r="D1206" s="318"/>
      <c r="E1206" s="318"/>
      <c r="F1206" s="318"/>
      <c r="G1206" s="318"/>
      <c r="H1206" s="318"/>
      <c r="I1206" s="318"/>
      <c r="J1206" s="318"/>
      <c r="K1206" s="318"/>
      <c r="L1206" s="318"/>
      <c r="M1206" s="318"/>
    </row>
    <row r="1207" spans="2:13">
      <c r="B1207" s="515"/>
      <c r="C1207" s="318"/>
      <c r="D1207" s="318"/>
      <c r="E1207" s="318"/>
      <c r="F1207" s="318"/>
      <c r="G1207" s="318"/>
      <c r="H1207" s="318"/>
      <c r="I1207" s="318"/>
      <c r="J1207" s="318"/>
      <c r="K1207" s="318"/>
      <c r="L1207" s="318"/>
      <c r="M1207" s="318"/>
    </row>
    <row r="1208" spans="2:13">
      <c r="B1208" s="515"/>
      <c r="C1208" s="318"/>
      <c r="D1208" s="318"/>
      <c r="E1208" s="318"/>
      <c r="F1208" s="318"/>
      <c r="G1208" s="318"/>
      <c r="H1208" s="318"/>
      <c r="I1208" s="318"/>
      <c r="J1208" s="318"/>
      <c r="K1208" s="318"/>
      <c r="L1208" s="318"/>
      <c r="M1208" s="318"/>
    </row>
    <row r="1209" spans="2:13">
      <c r="B1209" s="515"/>
      <c r="C1209" s="318"/>
      <c r="D1209" s="318"/>
      <c r="E1209" s="318"/>
      <c r="F1209" s="318"/>
      <c r="G1209" s="318"/>
      <c r="H1209" s="318"/>
      <c r="I1209" s="318"/>
      <c r="J1209" s="318"/>
      <c r="K1209" s="318"/>
      <c r="L1209" s="318"/>
      <c r="M1209" s="318"/>
    </row>
    <row r="1210" spans="2:13">
      <c r="B1210" s="515"/>
      <c r="C1210" s="318"/>
      <c r="D1210" s="318"/>
      <c r="E1210" s="318"/>
      <c r="F1210" s="318"/>
      <c r="G1210" s="318"/>
      <c r="H1210" s="318"/>
      <c r="I1210" s="318"/>
      <c r="J1210" s="318"/>
      <c r="K1210" s="318"/>
      <c r="L1210" s="318"/>
      <c r="M1210" s="318"/>
    </row>
    <row r="1211" spans="2:13">
      <c r="B1211" s="515"/>
      <c r="C1211" s="318"/>
      <c r="D1211" s="318"/>
      <c r="E1211" s="318"/>
      <c r="F1211" s="318"/>
      <c r="G1211" s="318"/>
      <c r="H1211" s="318"/>
      <c r="I1211" s="318"/>
      <c r="J1211" s="318"/>
      <c r="K1211" s="318"/>
      <c r="L1211" s="318"/>
      <c r="M1211" s="318"/>
    </row>
    <row r="1212" spans="2:13">
      <c r="B1212" s="515"/>
      <c r="C1212" s="318"/>
      <c r="D1212" s="318"/>
      <c r="E1212" s="318"/>
      <c r="F1212" s="318"/>
      <c r="G1212" s="318"/>
      <c r="H1212" s="318"/>
      <c r="I1212" s="318"/>
      <c r="J1212" s="318"/>
      <c r="K1212" s="318"/>
      <c r="L1212" s="318"/>
      <c r="M1212" s="318"/>
    </row>
    <row r="1213" spans="2:13">
      <c r="B1213" s="515"/>
      <c r="C1213" s="318"/>
      <c r="D1213" s="318"/>
      <c r="E1213" s="318"/>
      <c r="F1213" s="318"/>
      <c r="G1213" s="318"/>
      <c r="H1213" s="318"/>
      <c r="I1213" s="318"/>
      <c r="J1213" s="318"/>
      <c r="K1213" s="318"/>
      <c r="L1213" s="318"/>
      <c r="M1213" s="318"/>
    </row>
    <row r="1214" spans="2:13">
      <c r="B1214" s="515"/>
      <c r="C1214" s="318"/>
      <c r="D1214" s="318"/>
      <c r="E1214" s="318"/>
      <c r="F1214" s="318"/>
      <c r="G1214" s="318"/>
      <c r="H1214" s="318"/>
      <c r="I1214" s="318"/>
      <c r="J1214" s="318"/>
      <c r="K1214" s="318"/>
      <c r="L1214" s="318"/>
      <c r="M1214" s="318"/>
    </row>
    <row r="1215" spans="2:13">
      <c r="B1215" s="515"/>
      <c r="C1215" s="318"/>
      <c r="D1215" s="318"/>
      <c r="E1215" s="318"/>
      <c r="F1215" s="318"/>
      <c r="G1215" s="318"/>
      <c r="H1215" s="318"/>
      <c r="I1215" s="318"/>
      <c r="J1215" s="318"/>
      <c r="K1215" s="318"/>
      <c r="L1215" s="318"/>
      <c r="M1215" s="318"/>
    </row>
    <row r="1216" spans="2:13">
      <c r="B1216" s="515"/>
      <c r="C1216" s="318"/>
      <c r="D1216" s="318"/>
      <c r="E1216" s="318"/>
      <c r="F1216" s="318"/>
      <c r="G1216" s="318"/>
      <c r="H1216" s="318"/>
      <c r="I1216" s="318"/>
      <c r="J1216" s="318"/>
      <c r="K1216" s="318"/>
      <c r="L1216" s="318"/>
      <c r="M1216" s="318"/>
    </row>
    <row r="1217" spans="2:13">
      <c r="B1217" s="515"/>
      <c r="C1217" s="318"/>
      <c r="D1217" s="318"/>
      <c r="E1217" s="318"/>
      <c r="F1217" s="318"/>
      <c r="G1217" s="318"/>
      <c r="H1217" s="318"/>
      <c r="I1217" s="318"/>
      <c r="J1217" s="318"/>
      <c r="K1217" s="318"/>
      <c r="L1217" s="318"/>
      <c r="M1217" s="318"/>
    </row>
    <row r="1218" spans="2:13">
      <c r="B1218" s="515"/>
      <c r="C1218" s="318"/>
      <c r="D1218" s="318"/>
      <c r="E1218" s="318"/>
      <c r="F1218" s="318"/>
      <c r="G1218" s="318"/>
      <c r="H1218" s="318"/>
      <c r="I1218" s="318"/>
      <c r="J1218" s="318"/>
      <c r="K1218" s="318"/>
      <c r="L1218" s="318"/>
      <c r="M1218" s="318"/>
    </row>
    <row r="1219" spans="2:13">
      <c r="B1219" s="515"/>
      <c r="C1219" s="318"/>
      <c r="D1219" s="318"/>
      <c r="E1219" s="318"/>
      <c r="F1219" s="318"/>
      <c r="G1219" s="318"/>
      <c r="H1219" s="318"/>
      <c r="I1219" s="318"/>
      <c r="J1219" s="318"/>
      <c r="K1219" s="318"/>
      <c r="L1219" s="318"/>
      <c r="M1219" s="318"/>
    </row>
    <row r="1220" spans="2:13">
      <c r="B1220" s="515"/>
      <c r="C1220" s="318"/>
      <c r="D1220" s="318"/>
      <c r="E1220" s="318"/>
      <c r="F1220" s="318"/>
      <c r="G1220" s="318"/>
      <c r="H1220" s="318"/>
      <c r="I1220" s="318"/>
      <c r="J1220" s="318"/>
      <c r="K1220" s="318"/>
      <c r="L1220" s="318"/>
      <c r="M1220" s="318"/>
    </row>
    <row r="1221" spans="2:13">
      <c r="B1221" s="515"/>
      <c r="C1221" s="318"/>
      <c r="D1221" s="318"/>
      <c r="E1221" s="318"/>
      <c r="F1221" s="318"/>
      <c r="G1221" s="318"/>
      <c r="H1221" s="318"/>
      <c r="I1221" s="318"/>
      <c r="J1221" s="318"/>
      <c r="K1221" s="318"/>
      <c r="L1221" s="318"/>
      <c r="M1221" s="318"/>
    </row>
    <row r="1222" spans="2:13">
      <c r="B1222" s="515"/>
      <c r="C1222" s="318"/>
      <c r="D1222" s="318"/>
      <c r="E1222" s="318"/>
      <c r="F1222" s="318"/>
      <c r="G1222" s="318"/>
      <c r="H1222" s="318"/>
      <c r="I1222" s="318"/>
      <c r="J1222" s="318"/>
      <c r="K1222" s="318"/>
      <c r="L1222" s="318"/>
      <c r="M1222" s="318"/>
    </row>
    <row r="1223" spans="2:13">
      <c r="B1223" s="515"/>
      <c r="C1223" s="318"/>
      <c r="D1223" s="318"/>
      <c r="E1223" s="318"/>
      <c r="F1223" s="318"/>
      <c r="G1223" s="318"/>
      <c r="H1223" s="318"/>
      <c r="I1223" s="318"/>
      <c r="J1223" s="318"/>
      <c r="K1223" s="318"/>
      <c r="L1223" s="318"/>
      <c r="M1223" s="318"/>
    </row>
    <row r="1224" spans="2:13">
      <c r="B1224" s="515"/>
      <c r="C1224" s="318"/>
      <c r="D1224" s="318"/>
      <c r="E1224" s="318"/>
      <c r="F1224" s="318"/>
      <c r="G1224" s="318"/>
      <c r="H1224" s="318"/>
      <c r="I1224" s="318"/>
      <c r="J1224" s="318"/>
      <c r="K1224" s="318"/>
      <c r="L1224" s="318"/>
      <c r="M1224" s="318"/>
    </row>
    <row r="1225" spans="2:13">
      <c r="B1225" s="515"/>
      <c r="C1225" s="318"/>
      <c r="D1225" s="318"/>
      <c r="E1225" s="318"/>
      <c r="F1225" s="318"/>
      <c r="G1225" s="318"/>
      <c r="H1225" s="318"/>
      <c r="I1225" s="318"/>
      <c r="J1225" s="318"/>
      <c r="K1225" s="318"/>
      <c r="L1225" s="318"/>
      <c r="M1225" s="318"/>
    </row>
    <row r="1226" spans="2:13">
      <c r="B1226" s="515"/>
      <c r="C1226" s="318"/>
      <c r="D1226" s="318"/>
      <c r="E1226" s="318"/>
      <c r="F1226" s="318"/>
      <c r="G1226" s="318"/>
      <c r="H1226" s="318"/>
      <c r="I1226" s="318"/>
      <c r="J1226" s="318"/>
      <c r="K1226" s="318"/>
      <c r="L1226" s="318"/>
      <c r="M1226" s="318"/>
    </row>
    <row r="1227" spans="2:13">
      <c r="B1227" s="515"/>
      <c r="C1227" s="318"/>
      <c r="D1227" s="318"/>
      <c r="E1227" s="318"/>
      <c r="F1227" s="318"/>
      <c r="G1227" s="318"/>
      <c r="H1227" s="318"/>
      <c r="I1227" s="318"/>
      <c r="J1227" s="318"/>
      <c r="K1227" s="318"/>
      <c r="L1227" s="318"/>
      <c r="M1227" s="318"/>
    </row>
    <row r="1228" spans="2:13">
      <c r="B1228" s="515"/>
      <c r="C1228" s="318"/>
      <c r="D1228" s="318"/>
      <c r="E1228" s="318"/>
      <c r="F1228" s="318"/>
      <c r="G1228" s="318"/>
      <c r="H1228" s="318"/>
      <c r="I1228" s="318"/>
      <c r="J1228" s="318"/>
      <c r="K1228" s="318"/>
      <c r="L1228" s="318"/>
      <c r="M1228" s="318"/>
    </row>
    <row r="1229" spans="2:13">
      <c r="B1229" s="515"/>
      <c r="C1229" s="318"/>
      <c r="D1229" s="318"/>
      <c r="E1229" s="318"/>
      <c r="F1229" s="318"/>
      <c r="G1229" s="318"/>
      <c r="H1229" s="318"/>
      <c r="I1229" s="318"/>
      <c r="J1229" s="318"/>
      <c r="K1229" s="318"/>
      <c r="L1229" s="318"/>
      <c r="M1229" s="318"/>
    </row>
    <row r="1230" spans="2:13">
      <c r="B1230" s="515"/>
      <c r="C1230" s="318"/>
      <c r="D1230" s="318"/>
      <c r="E1230" s="318"/>
      <c r="F1230" s="318"/>
      <c r="G1230" s="318"/>
      <c r="H1230" s="318"/>
      <c r="I1230" s="318"/>
      <c r="J1230" s="318"/>
      <c r="K1230" s="318"/>
      <c r="L1230" s="318"/>
      <c r="M1230" s="318"/>
    </row>
    <row r="1231" spans="2:13">
      <c r="I1231" s="318"/>
      <c r="J1231" s="318"/>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0"/>
  <sheetViews>
    <sheetView view="pageBreakPreview" topLeftCell="A4" zoomScaleNormal="100" zoomScaleSheetLayoutView="100" workbookViewId="0">
      <selection activeCell="K39" sqref="K39"/>
    </sheetView>
  </sheetViews>
  <sheetFormatPr defaultColWidth="9.140625" defaultRowHeight="15"/>
  <cols>
    <col min="1" max="1" width="9.42578125" style="543" customWidth="1"/>
    <col min="2" max="2" width="6.5703125" style="543" customWidth="1"/>
    <col min="3" max="8" width="14.5703125" style="543" customWidth="1"/>
    <col min="9" max="9" width="14.85546875" style="543" bestFit="1" customWidth="1"/>
    <col min="10" max="11" width="16.5703125" style="543" bestFit="1" customWidth="1"/>
    <col min="12" max="13" width="22.140625" style="543" bestFit="1" customWidth="1"/>
    <col min="14" max="14" width="8.42578125" style="543" customWidth="1"/>
    <col min="15" max="38" width="12.5703125" style="543" customWidth="1"/>
    <col min="39" max="16384" width="9.140625" style="543"/>
  </cols>
  <sheetData>
    <row r="1" spans="1:22" ht="15.75">
      <c r="A1" s="898" t="s">
        <v>114</v>
      </c>
    </row>
    <row r="2" spans="1:22" ht="15.75">
      <c r="A2" s="898" t="s">
        <v>114</v>
      </c>
    </row>
    <row r="3" spans="1:22">
      <c r="A3" s="1687" t="str">
        <f>+'WS C  - Working Capital'!A3:L3</f>
        <v>AEP East Companies</v>
      </c>
      <c r="B3" s="1687"/>
      <c r="C3" s="1687"/>
      <c r="D3" s="1687"/>
      <c r="E3" s="1687"/>
      <c r="F3" s="1687"/>
      <c r="G3" s="1687"/>
      <c r="H3" s="1687"/>
      <c r="I3" s="1687"/>
      <c r="J3" s="1687"/>
      <c r="K3" s="1687"/>
      <c r="L3" s="530"/>
      <c r="M3" s="530"/>
      <c r="N3" s="530"/>
      <c r="O3" s="530"/>
    </row>
    <row r="4" spans="1:22">
      <c r="A4" s="1688" t="str">
        <f>"Cost of Service Formula Rate Using Actual/Projected FF1 Balances"</f>
        <v>Cost of Service Formula Rate Using Actual/Projected FF1 Balances</v>
      </c>
      <c r="B4" s="1688"/>
      <c r="C4" s="1688"/>
      <c r="D4" s="1688"/>
      <c r="E4" s="1688"/>
      <c r="F4" s="1688"/>
      <c r="G4" s="1688"/>
      <c r="H4" s="1688"/>
      <c r="I4" s="1688"/>
      <c r="J4" s="1688"/>
      <c r="K4" s="1688"/>
      <c r="L4" s="532"/>
      <c r="M4" s="532"/>
      <c r="N4" s="532"/>
      <c r="O4" s="532"/>
    </row>
    <row r="5" spans="1:22">
      <c r="A5" s="1688" t="s">
        <v>237</v>
      </c>
      <c r="B5" s="1688"/>
      <c r="C5" s="1688"/>
      <c r="D5" s="1688"/>
      <c r="E5" s="1688"/>
      <c r="F5" s="1688"/>
      <c r="G5" s="1688"/>
      <c r="H5" s="1688"/>
      <c r="I5" s="1688"/>
      <c r="J5" s="1688"/>
      <c r="K5" s="1688"/>
      <c r="L5" s="531"/>
      <c r="M5" s="531"/>
      <c r="N5" s="531"/>
      <c r="O5" s="531"/>
    </row>
    <row r="6" spans="1:22">
      <c r="A6" s="1689" t="str">
        <f>TCOS!F9</f>
        <v>Ohio Power Company</v>
      </c>
      <c r="B6" s="1689"/>
      <c r="C6" s="1689"/>
      <c r="D6" s="1689"/>
      <c r="E6" s="1689"/>
      <c r="F6" s="1689"/>
      <c r="G6" s="1689"/>
      <c r="H6" s="1689"/>
      <c r="I6" s="1689"/>
      <c r="J6" s="1689"/>
      <c r="K6" s="1689"/>
      <c r="L6" s="326"/>
      <c r="M6" s="326"/>
      <c r="N6" s="326"/>
      <c r="O6" s="326"/>
    </row>
    <row r="7" spans="1:22">
      <c r="A7" s="544"/>
      <c r="B7" s="544"/>
      <c r="C7" s="544"/>
      <c r="D7" s="544"/>
      <c r="E7" s="544"/>
      <c r="F7" s="544"/>
      <c r="G7" s="544"/>
      <c r="H7" s="544"/>
      <c r="I7" s="544"/>
      <c r="J7" s="544"/>
      <c r="K7" s="544"/>
      <c r="L7" s="544"/>
      <c r="M7" s="544"/>
      <c r="N7" s="544"/>
      <c r="O7" s="544"/>
    </row>
    <row r="8" spans="1:22" ht="18">
      <c r="A8" s="1692"/>
      <c r="B8" s="1692"/>
      <c r="C8" s="1692"/>
      <c r="D8" s="1692"/>
      <c r="E8" s="1692"/>
      <c r="F8" s="1692"/>
      <c r="G8" s="1692"/>
      <c r="H8" s="1692"/>
      <c r="I8" s="1692"/>
      <c r="J8" s="1692"/>
      <c r="K8" s="1692"/>
      <c r="L8" s="546"/>
      <c r="M8" s="547"/>
    </row>
    <row r="9" spans="1:22" ht="18">
      <c r="A9" s="545"/>
      <c r="B9" s="545"/>
      <c r="C9" s="545"/>
      <c r="D9" s="545"/>
      <c r="E9" s="545"/>
      <c r="F9" s="545"/>
      <c r="G9" s="545"/>
      <c r="H9" s="545"/>
      <c r="I9" s="545"/>
      <c r="J9" s="545"/>
      <c r="K9" s="545"/>
      <c r="L9" s="546"/>
      <c r="M9" s="547"/>
    </row>
    <row r="10" spans="1:22" ht="15.75">
      <c r="A10" s="548" t="s">
        <v>169</v>
      </c>
      <c r="B10" s="546"/>
      <c r="C10" s="549"/>
      <c r="D10" s="549"/>
      <c r="E10" s="549"/>
      <c r="F10" s="549"/>
      <c r="G10" s="550"/>
      <c r="H10" s="550"/>
      <c r="I10" s="548" t="s">
        <v>182</v>
      </c>
      <c r="J10" s="548" t="s">
        <v>28</v>
      </c>
      <c r="K10" s="551"/>
      <c r="N10" s="552"/>
      <c r="P10" s="552"/>
      <c r="R10" s="552"/>
      <c r="S10" s="552"/>
      <c r="T10" s="552"/>
      <c r="U10" s="518"/>
      <c r="V10" s="518"/>
    </row>
    <row r="11" spans="1:22" ht="15.75">
      <c r="A11" s="548" t="s">
        <v>106</v>
      </c>
      <c r="B11" s="1693" t="s">
        <v>167</v>
      </c>
      <c r="C11" s="1693"/>
      <c r="D11" s="1693"/>
      <c r="E11" s="1693"/>
      <c r="F11" s="1693"/>
      <c r="G11" s="1693"/>
      <c r="H11" s="1693"/>
      <c r="I11" s="553" t="s">
        <v>183</v>
      </c>
      <c r="J11" s="553" t="s">
        <v>115</v>
      </c>
      <c r="K11" s="553" t="s">
        <v>115</v>
      </c>
      <c r="L11" s="554"/>
      <c r="M11" s="554"/>
      <c r="N11" s="552"/>
      <c r="O11" s="552"/>
      <c r="P11" s="552"/>
      <c r="Q11" s="552"/>
      <c r="R11" s="552"/>
      <c r="S11" s="552"/>
      <c r="T11" s="555"/>
      <c r="U11" s="518"/>
      <c r="V11" s="518"/>
    </row>
    <row r="12" spans="1:22" ht="15.75">
      <c r="A12" s="550"/>
      <c r="B12" s="556"/>
      <c r="C12" s="546"/>
      <c r="D12" s="550"/>
      <c r="E12" s="550"/>
      <c r="F12" s="550"/>
      <c r="G12" s="550"/>
      <c r="H12" s="550"/>
      <c r="I12" s="550"/>
      <c r="J12" s="550"/>
      <c r="K12" s="557"/>
      <c r="L12" s="554"/>
      <c r="M12" s="554"/>
      <c r="N12" s="552"/>
      <c r="O12" s="552"/>
      <c r="P12" s="552"/>
      <c r="Q12" s="552"/>
      <c r="R12" s="552"/>
      <c r="S12" s="552"/>
      <c r="T12" s="555"/>
      <c r="U12" s="518"/>
      <c r="V12" s="518"/>
    </row>
    <row r="13" spans="1:22" s="564" customFormat="1" ht="12.75">
      <c r="A13" s="558">
        <v>1</v>
      </c>
      <c r="B13" s="559" t="s">
        <v>482</v>
      </c>
      <c r="C13" s="542"/>
      <c r="D13" s="560"/>
      <c r="E13" s="560"/>
      <c r="F13" s="560"/>
      <c r="G13" s="560"/>
      <c r="H13" s="560"/>
      <c r="I13" s="854">
        <v>2104607.5299999998</v>
      </c>
      <c r="J13" s="561">
        <f>+I13-K12</f>
        <v>2104607.5299999998</v>
      </c>
      <c r="K13" s="854"/>
      <c r="L13" s="562"/>
      <c r="M13" s="562"/>
      <c r="N13" s="542"/>
      <c r="O13" s="542"/>
      <c r="P13" s="542"/>
      <c r="Q13" s="542"/>
      <c r="R13" s="542"/>
      <c r="S13" s="542"/>
      <c r="T13" s="563"/>
      <c r="U13" s="542"/>
      <c r="V13" s="542"/>
    </row>
    <row r="14" spans="1:22" s="564" customFormat="1" ht="12.75">
      <c r="A14" s="565"/>
      <c r="B14" s="566"/>
      <c r="C14" s="567"/>
      <c r="D14" s="568"/>
      <c r="E14" s="568"/>
      <c r="F14" s="568"/>
      <c r="G14" s="568"/>
      <c r="H14" s="560"/>
      <c r="I14" s="569"/>
      <c r="J14" s="570"/>
      <c r="K14" s="569"/>
      <c r="L14" s="562"/>
      <c r="M14" s="562"/>
      <c r="N14" s="542"/>
      <c r="O14" s="542"/>
      <c r="P14" s="542"/>
      <c r="Q14" s="542"/>
      <c r="R14" s="542"/>
      <c r="S14" s="542"/>
      <c r="T14" s="563"/>
      <c r="U14" s="542"/>
      <c r="V14" s="542"/>
    </row>
    <row r="15" spans="1:22" s="564" customFormat="1" ht="12.75">
      <c r="A15" s="558">
        <f>+A13+1</f>
        <v>2</v>
      </c>
      <c r="B15" s="571" t="s">
        <v>483</v>
      </c>
      <c r="C15" s="542"/>
      <c r="D15" s="560"/>
      <c r="E15" s="560"/>
      <c r="F15" s="560"/>
      <c r="G15" s="560"/>
      <c r="H15" s="560"/>
      <c r="I15" s="854">
        <v>8927878.5099999998</v>
      </c>
      <c r="J15" s="561">
        <f>+I15-K15</f>
        <v>8806221.3100000005</v>
      </c>
      <c r="K15" s="854">
        <v>121657.2</v>
      </c>
      <c r="L15" s="562"/>
      <c r="M15" s="562"/>
      <c r="N15" s="542"/>
      <c r="O15" s="542"/>
      <c r="P15" s="542"/>
      <c r="Q15" s="542"/>
      <c r="R15" s="542"/>
      <c r="S15" s="542"/>
      <c r="T15" s="542"/>
      <c r="U15" s="542"/>
      <c r="V15" s="542"/>
    </row>
    <row r="16" spans="1:22" s="564" customFormat="1" ht="12.75">
      <c r="A16" s="565"/>
      <c r="B16" s="572"/>
      <c r="C16" s="567"/>
      <c r="D16" s="568"/>
      <c r="E16" s="568"/>
      <c r="F16" s="568"/>
      <c r="G16" s="568"/>
      <c r="H16" s="560"/>
      <c r="I16" s="570"/>
      <c r="J16" s="570"/>
      <c r="K16" s="570"/>
      <c r="L16" s="562"/>
      <c r="M16" s="562"/>
      <c r="N16" s="542"/>
      <c r="O16" s="542"/>
      <c r="P16" s="542"/>
      <c r="Q16" s="542"/>
      <c r="R16" s="542"/>
      <c r="S16" s="542"/>
      <c r="T16" s="542"/>
      <c r="U16" s="542"/>
      <c r="V16" s="542"/>
    </row>
    <row r="17" spans="1:22" s="564" customFormat="1" ht="12.75">
      <c r="A17" s="558">
        <f>+A15+1</f>
        <v>3</v>
      </c>
      <c r="B17" s="571" t="s">
        <v>484</v>
      </c>
      <c r="C17" s="542"/>
      <c r="D17" s="560"/>
      <c r="E17" s="560"/>
      <c r="F17" s="560"/>
      <c r="G17" s="560"/>
      <c r="H17" s="560"/>
      <c r="I17" s="854">
        <v>49621574.848000005</v>
      </c>
      <c r="J17" s="561">
        <f>+I17-K17</f>
        <v>36243209.582000002</v>
      </c>
      <c r="K17" s="854">
        <v>13378365.266000001</v>
      </c>
      <c r="L17" s="562"/>
      <c r="M17" s="562"/>
      <c r="N17" s="542"/>
      <c r="O17" s="542"/>
      <c r="P17" s="542"/>
      <c r="Q17" s="542"/>
      <c r="R17" s="542"/>
      <c r="S17" s="542"/>
      <c r="T17" s="542"/>
      <c r="U17" s="542"/>
      <c r="V17" s="542"/>
    </row>
    <row r="18" spans="1:22" s="564" customFormat="1" ht="12.75">
      <c r="A18" s="565"/>
      <c r="B18" s="570"/>
      <c r="C18" s="576"/>
      <c r="D18" s="570"/>
      <c r="E18" s="570"/>
      <c r="F18" s="570"/>
      <c r="G18" s="573"/>
      <c r="H18" s="570"/>
      <c r="I18" s="570"/>
      <c r="J18" s="570"/>
      <c r="K18" s="570"/>
      <c r="L18" s="562"/>
      <c r="M18" s="562"/>
      <c r="N18" s="542"/>
      <c r="O18" s="542"/>
      <c r="P18" s="542"/>
      <c r="Q18" s="542"/>
      <c r="R18" s="542"/>
      <c r="S18" s="542"/>
      <c r="T18" s="542"/>
      <c r="U18" s="542"/>
      <c r="V18" s="542"/>
    </row>
    <row r="19" spans="1:22" s="564" customFormat="1" ht="12.75">
      <c r="A19" s="558">
        <f>+A17+1</f>
        <v>4</v>
      </c>
      <c r="B19" s="559" t="s">
        <v>756</v>
      </c>
      <c r="C19" s="576"/>
      <c r="D19" s="570"/>
      <c r="E19" s="570"/>
      <c r="F19" s="570"/>
      <c r="G19" s="573"/>
      <c r="H19" s="570"/>
      <c r="I19" s="854">
        <v>4936579.5199999996</v>
      </c>
      <c r="J19" s="561">
        <f>+I19-K19</f>
        <v>4381541.5299999993</v>
      </c>
      <c r="K19" s="854">
        <v>555037.99</v>
      </c>
      <c r="L19" s="562"/>
      <c r="M19" s="562"/>
      <c r="N19" s="575"/>
      <c r="O19" s="542"/>
      <c r="P19" s="542"/>
      <c r="Q19" s="542"/>
      <c r="R19" s="542"/>
      <c r="S19" s="542"/>
      <c r="T19" s="542"/>
      <c r="U19" s="542"/>
      <c r="V19" s="542"/>
    </row>
    <row r="20" spans="1:22" s="564" customFormat="1" ht="12.75">
      <c r="A20" s="565"/>
      <c r="B20" s="559"/>
      <c r="C20" s="576"/>
      <c r="D20" s="570"/>
      <c r="E20" s="570"/>
      <c r="F20" s="570"/>
      <c r="G20" s="573"/>
      <c r="H20" s="570"/>
      <c r="I20" s="542"/>
      <c r="J20" s="542"/>
      <c r="K20" s="542"/>
      <c r="L20" s="576"/>
      <c r="M20" s="562"/>
      <c r="N20" s="575"/>
      <c r="O20" s="542"/>
      <c r="P20" s="542"/>
      <c r="Q20" s="542"/>
      <c r="R20" s="542"/>
      <c r="S20" s="542"/>
      <c r="T20" s="542"/>
      <c r="U20" s="542"/>
      <c r="V20" s="542"/>
    </row>
    <row r="21" spans="1:22" s="564" customFormat="1" ht="12.75">
      <c r="A21" s="558">
        <f>+A19+1</f>
        <v>5</v>
      </c>
      <c r="B21" s="559" t="s">
        <v>757</v>
      </c>
      <c r="C21" s="576"/>
      <c r="D21" s="570"/>
      <c r="E21" s="570"/>
      <c r="F21" s="570"/>
      <c r="G21" s="573"/>
      <c r="H21" s="570"/>
      <c r="I21" s="854">
        <v>114244343.08000001</v>
      </c>
      <c r="J21" s="561">
        <f>+I21-K21</f>
        <v>114131251.28000002</v>
      </c>
      <c r="K21" s="854">
        <v>113091.8</v>
      </c>
      <c r="L21" s="562"/>
      <c r="M21" s="562"/>
      <c r="N21" s="575"/>
      <c r="O21" s="542"/>
      <c r="P21" s="542"/>
      <c r="Q21" s="542"/>
      <c r="R21" s="542"/>
      <c r="S21" s="542"/>
      <c r="T21" s="542"/>
      <c r="U21" s="542"/>
      <c r="V21" s="542"/>
    </row>
    <row r="22" spans="1:22" s="564" customFormat="1" ht="12.75">
      <c r="A22" s="558"/>
      <c r="B22" s="559"/>
      <c r="C22" s="576"/>
      <c r="D22" s="570"/>
      <c r="E22" s="570"/>
      <c r="F22" s="570"/>
      <c r="G22" s="573"/>
      <c r="H22" s="570"/>
      <c r="I22" s="897"/>
      <c r="J22" s="561"/>
      <c r="K22" s="897"/>
      <c r="L22" s="562"/>
      <c r="M22" s="562"/>
      <c r="N22" s="575"/>
      <c r="O22" s="542"/>
      <c r="P22" s="542"/>
      <c r="Q22" s="542"/>
      <c r="R22" s="542"/>
      <c r="S22" s="542"/>
      <c r="T22" s="542"/>
      <c r="U22" s="542"/>
      <c r="V22" s="542"/>
    </row>
    <row r="23" spans="1:22" s="564" customFormat="1" ht="12.75">
      <c r="A23" s="558" t="s">
        <v>617</v>
      </c>
      <c r="B23" s="559" t="s">
        <v>620</v>
      </c>
      <c r="C23" s="576"/>
      <c r="D23" s="570"/>
      <c r="E23" s="570"/>
      <c r="F23" s="570"/>
      <c r="G23" s="573"/>
      <c r="H23" s="570"/>
      <c r="I23" s="854"/>
      <c r="J23" s="561">
        <v>0</v>
      </c>
      <c r="K23" s="854"/>
      <c r="L23" s="562"/>
      <c r="M23" s="562"/>
      <c r="N23" s="575"/>
      <c r="O23" s="542"/>
      <c r="P23" s="542"/>
      <c r="Q23" s="542"/>
      <c r="R23" s="542"/>
      <c r="S23" s="542"/>
      <c r="T23" s="542"/>
      <c r="U23" s="542"/>
      <c r="V23" s="542"/>
    </row>
    <row r="24" spans="1:22" s="564" customFormat="1" ht="12.75">
      <c r="A24" s="558"/>
      <c r="B24" s="559"/>
      <c r="C24" s="576"/>
      <c r="D24" s="570"/>
      <c r="E24" s="570"/>
      <c r="F24" s="570"/>
      <c r="G24" s="573"/>
      <c r="H24" s="570"/>
      <c r="I24" s="897"/>
      <c r="J24" s="561"/>
      <c r="K24" s="897"/>
      <c r="L24" s="562"/>
      <c r="M24" s="562"/>
      <c r="N24" s="575"/>
      <c r="O24" s="542"/>
      <c r="P24" s="542"/>
      <c r="Q24" s="542"/>
      <c r="R24" s="542"/>
      <c r="S24" s="542"/>
      <c r="T24" s="542"/>
      <c r="U24" s="542"/>
      <c r="V24" s="542"/>
    </row>
    <row r="25" spans="1:22" s="564" customFormat="1" ht="12.75">
      <c r="A25" s="558" t="s">
        <v>618</v>
      </c>
      <c r="B25" s="559" t="s">
        <v>619</v>
      </c>
      <c r="C25" s="576"/>
      <c r="D25" s="570"/>
      <c r="E25" s="570"/>
      <c r="F25" s="570"/>
      <c r="G25" s="573"/>
      <c r="H25" s="570"/>
      <c r="I25" s="854"/>
      <c r="J25" s="561">
        <v>0</v>
      </c>
      <c r="K25" s="854"/>
      <c r="L25" s="562"/>
      <c r="M25" s="562"/>
      <c r="N25" s="575"/>
      <c r="O25" s="542"/>
      <c r="P25" s="542"/>
      <c r="Q25" s="542"/>
      <c r="R25" s="542"/>
      <c r="S25" s="542"/>
      <c r="T25" s="542"/>
      <c r="U25" s="542"/>
      <c r="V25" s="542"/>
    </row>
    <row r="26" spans="1:22" s="564" customFormat="1" ht="12.75">
      <c r="A26" s="558"/>
      <c r="B26" s="559"/>
      <c r="C26" s="576"/>
      <c r="D26" s="570"/>
      <c r="E26" s="570"/>
      <c r="F26" s="570"/>
      <c r="G26" s="573"/>
      <c r="H26" s="570"/>
      <c r="I26" s="542"/>
      <c r="J26" s="542"/>
      <c r="L26" s="562"/>
      <c r="M26" s="562"/>
      <c r="N26" s="542"/>
      <c r="O26" s="542"/>
      <c r="P26" s="542"/>
      <c r="Q26" s="542"/>
      <c r="R26" s="542"/>
      <c r="S26" s="542"/>
      <c r="T26" s="542"/>
      <c r="U26" s="542"/>
      <c r="V26" s="542"/>
    </row>
    <row r="27" spans="1:22" s="564" customFormat="1" ht="12.75">
      <c r="A27" s="558">
        <f>+A21+1</f>
        <v>6</v>
      </c>
      <c r="B27" s="559" t="s">
        <v>74</v>
      </c>
      <c r="C27" s="576"/>
      <c r="D27" s="570"/>
      <c r="E27" s="570"/>
      <c r="F27" s="570"/>
      <c r="G27" s="573"/>
      <c r="H27" s="570"/>
      <c r="I27" s="577">
        <f>+I21+I19+I17+I15+I13+I23+I25</f>
        <v>179834983.48800001</v>
      </c>
      <c r="J27" s="577">
        <f>+J21+J19+J17+J15+J13+J23+J25</f>
        <v>165666831.23200002</v>
      </c>
      <c r="K27" s="577">
        <f>+K21+K19+K17+K15+K13+K23+K25</f>
        <v>14168152.256000001</v>
      </c>
      <c r="L27" s="562"/>
      <c r="M27" s="562"/>
      <c r="N27" s="542"/>
      <c r="O27" s="542"/>
      <c r="P27" s="542"/>
      <c r="Q27" s="542"/>
      <c r="R27" s="542"/>
      <c r="S27" s="542"/>
      <c r="T27" s="542"/>
      <c r="U27" s="542"/>
      <c r="V27" s="542"/>
    </row>
    <row r="28" spans="1:22" s="564" customFormat="1" ht="12.75">
      <c r="A28" s="558"/>
      <c r="B28" s="559"/>
      <c r="C28" s="576"/>
      <c r="D28" s="570"/>
      <c r="E28" s="570"/>
      <c r="F28" s="570"/>
      <c r="G28" s="573"/>
      <c r="H28" s="570"/>
      <c r="I28" s="542"/>
      <c r="J28" s="542"/>
      <c r="K28" s="542"/>
      <c r="L28" s="562"/>
      <c r="M28" s="562"/>
      <c r="N28" s="542"/>
      <c r="O28" s="542"/>
      <c r="P28" s="542"/>
      <c r="Q28" s="542"/>
      <c r="R28" s="542"/>
      <c r="S28" s="542"/>
      <c r="T28" s="542"/>
      <c r="U28" s="542"/>
      <c r="V28" s="542"/>
    </row>
    <row r="29" spans="1:22" s="564" customFormat="1" ht="12.75">
      <c r="A29" s="558">
        <f>+A27+1</f>
        <v>7</v>
      </c>
      <c r="B29" s="1691" t="s">
        <v>485</v>
      </c>
      <c r="C29" s="1626"/>
      <c r="D29" s="1626"/>
      <c r="E29" s="1626"/>
      <c r="F29" s="1626"/>
      <c r="G29" s="1626"/>
      <c r="H29" s="570"/>
      <c r="I29" s="854"/>
      <c r="J29" s="561">
        <f>+I29-K29</f>
        <v>0</v>
      </c>
      <c r="K29" s="854"/>
      <c r="L29" s="562"/>
      <c r="M29" s="562"/>
      <c r="N29" s="542"/>
      <c r="O29" s="542"/>
      <c r="P29" s="542"/>
      <c r="Q29" s="542"/>
      <c r="R29" s="542"/>
      <c r="S29" s="542"/>
      <c r="T29" s="542"/>
      <c r="U29" s="542"/>
      <c r="V29" s="542"/>
    </row>
    <row r="30" spans="1:22" s="564" customFormat="1" ht="12.75">
      <c r="A30" s="1116"/>
      <c r="B30" s="1626"/>
      <c r="C30" s="1626"/>
      <c r="D30" s="1626"/>
      <c r="E30" s="1626"/>
      <c r="F30" s="1626"/>
      <c r="G30" s="1626"/>
      <c r="H30" s="560"/>
      <c r="I30" s="578"/>
      <c r="J30" s="560"/>
      <c r="K30" s="579"/>
      <c r="L30" s="562"/>
      <c r="M30" s="562"/>
      <c r="N30" s="542"/>
      <c r="O30" s="542"/>
      <c r="P30" s="542"/>
      <c r="Q30" s="542"/>
      <c r="R30" s="542"/>
      <c r="S30" s="542"/>
      <c r="T30" s="542"/>
      <c r="U30" s="542"/>
      <c r="V30" s="542"/>
    </row>
    <row r="31" spans="1:22" s="564" customFormat="1" ht="12.75">
      <c r="A31" s="558">
        <f>+A29+1</f>
        <v>8</v>
      </c>
      <c r="B31" s="566" t="s">
        <v>215</v>
      </c>
      <c r="C31" s="567"/>
      <c r="D31" s="568"/>
      <c r="E31" s="568"/>
      <c r="F31" s="568"/>
      <c r="G31" s="574"/>
      <c r="H31" s="560"/>
      <c r="I31" s="580">
        <f>SUM(I27:I29)</f>
        <v>179834983.48800001</v>
      </c>
      <c r="J31" s="580">
        <f>SUM(J27:J29)</f>
        <v>165666831.23200002</v>
      </c>
      <c r="K31" s="580">
        <f>SUM(K27:K29)</f>
        <v>14168152.256000001</v>
      </c>
      <c r="L31" s="562"/>
      <c r="M31" s="562"/>
      <c r="N31" s="542"/>
      <c r="O31" s="542"/>
      <c r="P31" s="542"/>
      <c r="Q31" s="542"/>
      <c r="R31" s="542"/>
      <c r="S31" s="542"/>
      <c r="T31" s="542"/>
      <c r="U31" s="542"/>
      <c r="V31" s="542"/>
    </row>
    <row r="32" spans="1:22" s="564" customFormat="1" ht="12.75">
      <c r="A32" s="558"/>
      <c r="B32" s="566"/>
      <c r="C32" s="567"/>
      <c r="D32" s="568"/>
      <c r="E32" s="568"/>
      <c r="F32" s="568"/>
      <c r="G32" s="574"/>
      <c r="H32" s="560"/>
      <c r="I32" s="579"/>
      <c r="J32" s="579"/>
      <c r="K32" s="579"/>
      <c r="L32" s="562"/>
      <c r="M32" s="562"/>
      <c r="N32" s="542"/>
      <c r="O32" s="542"/>
      <c r="P32" s="542"/>
      <c r="Q32" s="542"/>
      <c r="R32" s="542"/>
      <c r="S32" s="542"/>
      <c r="T32" s="542"/>
      <c r="U32" s="542"/>
      <c r="V32" s="542"/>
    </row>
    <row r="33" spans="1:41" s="564" customFormat="1" ht="12.75">
      <c r="A33" s="558"/>
      <c r="B33" s="566"/>
      <c r="C33" s="567"/>
      <c r="D33" s="568"/>
      <c r="E33" s="568"/>
      <c r="F33" s="568"/>
      <c r="G33" s="574"/>
      <c r="H33" s="560"/>
      <c r="I33" s="579"/>
      <c r="J33" s="579"/>
      <c r="K33" s="579"/>
      <c r="L33" s="562"/>
      <c r="M33" s="562"/>
      <c r="N33" s="542"/>
      <c r="O33" s="542"/>
      <c r="P33" s="542"/>
      <c r="Q33" s="542"/>
      <c r="R33" s="542"/>
      <c r="S33" s="542"/>
      <c r="T33" s="542"/>
      <c r="U33" s="542"/>
      <c r="V33" s="542"/>
    </row>
    <row r="34" spans="1:41" s="564" customFormat="1" ht="12.75">
      <c r="A34" s="1127"/>
      <c r="L34" s="562"/>
      <c r="M34" s="562"/>
      <c r="N34" s="542"/>
      <c r="O34" s="542"/>
      <c r="P34" s="542"/>
      <c r="Q34" s="542"/>
      <c r="R34" s="542"/>
      <c r="S34" s="542"/>
      <c r="T34" s="542"/>
      <c r="U34" s="542"/>
      <c r="V34" s="542"/>
    </row>
    <row r="35" spans="1:41">
      <c r="A35" s="1128"/>
      <c r="B35" s="542"/>
      <c r="C35" s="559"/>
      <c r="D35" s="560"/>
      <c r="E35" s="560"/>
      <c r="F35" s="560"/>
      <c r="G35" s="573"/>
      <c r="H35" s="560"/>
      <c r="I35" s="560"/>
      <c r="J35" s="560"/>
      <c r="K35" s="560"/>
      <c r="L35" s="581"/>
      <c r="M35" s="582"/>
      <c r="N35" s="518"/>
      <c r="O35" s="549"/>
      <c r="P35" s="549"/>
      <c r="Q35" s="549"/>
      <c r="R35" s="549"/>
      <c r="S35" s="518"/>
      <c r="T35" s="518"/>
      <c r="U35" s="518"/>
      <c r="V35" s="518"/>
    </row>
    <row r="36" spans="1:41" ht="15" customHeight="1">
      <c r="A36" s="1116" t="s">
        <v>499</v>
      </c>
      <c r="B36" s="169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690"/>
      <c r="D36" s="1690"/>
      <c r="E36" s="1690"/>
      <c r="F36" s="1690"/>
      <c r="G36" s="1690"/>
      <c r="H36" s="1690"/>
      <c r="I36" s="1690"/>
      <c r="J36" s="1690"/>
      <c r="K36" s="542"/>
      <c r="L36" s="584"/>
      <c r="M36" s="584"/>
      <c r="N36" s="518"/>
      <c r="O36" s="549"/>
      <c r="P36" s="549"/>
      <c r="Q36" s="549"/>
      <c r="R36" s="549"/>
      <c r="S36" s="518"/>
      <c r="T36" s="552"/>
      <c r="U36" s="518"/>
      <c r="V36" s="518"/>
    </row>
    <row r="37" spans="1:41" ht="15.75">
      <c r="A37" s="1116"/>
      <c r="B37" s="1690"/>
      <c r="C37" s="1690"/>
      <c r="D37" s="1690"/>
      <c r="E37" s="1690"/>
      <c r="F37" s="1690"/>
      <c r="G37" s="1690"/>
      <c r="H37" s="1690"/>
      <c r="I37" s="1690"/>
      <c r="J37" s="1690"/>
      <c r="K37" s="542"/>
      <c r="L37" s="517"/>
      <c r="M37" s="585"/>
      <c r="N37" s="585"/>
      <c r="O37" s="585"/>
      <c r="P37" s="585"/>
      <c r="Q37" s="585"/>
      <c r="R37" s="517"/>
      <c r="S37" s="517"/>
      <c r="T37" s="517"/>
      <c r="U37" s="517"/>
      <c r="V37" s="517"/>
      <c r="W37" s="554"/>
      <c r="X37" s="554"/>
      <c r="Y37" s="554"/>
      <c r="Z37" s="554"/>
      <c r="AA37" s="554"/>
      <c r="AB37" s="554"/>
      <c r="AC37" s="554"/>
      <c r="AD37" s="554"/>
      <c r="AE37" s="554"/>
      <c r="AF37" s="554"/>
      <c r="AG37" s="554"/>
      <c r="AH37" s="554"/>
      <c r="AI37" s="554"/>
      <c r="AJ37" s="554"/>
      <c r="AK37" s="554"/>
      <c r="AL37" s="554"/>
      <c r="AM37" s="554"/>
      <c r="AN37" s="554"/>
      <c r="AO37" s="554"/>
    </row>
    <row r="38" spans="1:41" ht="15.75">
      <c r="A38" s="1116" t="s">
        <v>615</v>
      </c>
      <c r="B38" s="1125" t="s">
        <v>616</v>
      </c>
      <c r="C38" s="1126"/>
      <c r="D38" s="1126"/>
      <c r="E38" s="1126"/>
      <c r="F38" s="1126"/>
      <c r="G38" s="1126"/>
      <c r="H38" s="1126"/>
      <c r="I38" s="583"/>
      <c r="J38" s="583"/>
      <c r="K38" s="586"/>
      <c r="L38" s="517"/>
      <c r="M38" s="585"/>
      <c r="N38" s="585"/>
      <c r="O38" s="585"/>
      <c r="P38" s="585"/>
      <c r="Q38" s="585"/>
      <c r="R38" s="517"/>
      <c r="S38" s="517"/>
      <c r="T38" s="517"/>
      <c r="U38" s="517"/>
      <c r="V38" s="517"/>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558">
        <f>+A31+1</f>
        <v>9</v>
      </c>
      <c r="B39" s="571" t="s">
        <v>534</v>
      </c>
      <c r="C39" s="542"/>
      <c r="D39" s="560"/>
      <c r="E39" s="560"/>
      <c r="F39" s="560"/>
      <c r="G39" s="573"/>
      <c r="H39" s="560"/>
      <c r="I39" s="579"/>
      <c r="J39" s="579"/>
      <c r="K39" s="897">
        <v>6197030.2899999991</v>
      </c>
      <c r="L39" s="517"/>
      <c r="M39" s="585"/>
      <c r="N39" s="585"/>
      <c r="O39" s="585"/>
      <c r="P39" s="585"/>
      <c r="Q39" s="585"/>
      <c r="R39" s="517"/>
      <c r="S39" s="517"/>
      <c r="T39" s="517"/>
      <c r="U39" s="517"/>
      <c r="V39" s="517"/>
      <c r="W39" s="554"/>
      <c r="X39" s="554"/>
      <c r="Y39" s="554"/>
      <c r="Z39" s="554"/>
      <c r="AA39" s="554"/>
      <c r="AB39" s="554"/>
      <c r="AC39" s="554"/>
      <c r="AD39" s="554"/>
      <c r="AE39" s="554"/>
      <c r="AF39" s="554"/>
      <c r="AG39" s="554"/>
      <c r="AH39" s="554"/>
      <c r="AI39" s="554"/>
      <c r="AJ39" s="554"/>
      <c r="AK39" s="554"/>
      <c r="AL39" s="554"/>
      <c r="AM39" s="554"/>
      <c r="AN39" s="554"/>
      <c r="AO39" s="554"/>
    </row>
    <row r="40" spans="1:41" ht="15.75">
      <c r="A40" s="518"/>
      <c r="B40" s="517"/>
      <c r="E40" s="585"/>
      <c r="F40" s="585"/>
      <c r="G40" s="585"/>
      <c r="H40" s="585"/>
      <c r="I40" s="587"/>
      <c r="J40" s="585"/>
      <c r="K40" s="585"/>
      <c r="L40" s="517"/>
      <c r="M40" s="585"/>
      <c r="N40" s="585"/>
      <c r="O40" s="585"/>
      <c r="P40" s="585"/>
      <c r="Q40" s="585"/>
      <c r="R40" s="517"/>
      <c r="S40" s="517"/>
      <c r="T40" s="517"/>
      <c r="U40" s="517"/>
      <c r="V40" s="517"/>
      <c r="W40" s="554"/>
      <c r="X40" s="554"/>
      <c r="Y40" s="554"/>
      <c r="Z40" s="554"/>
      <c r="AA40" s="554"/>
      <c r="AB40" s="554"/>
      <c r="AC40" s="554"/>
      <c r="AD40" s="554"/>
      <c r="AE40" s="554"/>
      <c r="AF40" s="554"/>
      <c r="AG40" s="554"/>
      <c r="AH40" s="554"/>
      <c r="AI40" s="554"/>
      <c r="AJ40" s="554"/>
      <c r="AK40" s="554"/>
      <c r="AL40" s="554"/>
      <c r="AM40" s="554"/>
      <c r="AN40" s="554"/>
      <c r="AO40" s="554"/>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3"/>
  <sheetViews>
    <sheetView view="pageBreakPreview" topLeftCell="A16" zoomScale="85" zoomScaleNormal="85" zoomScaleSheetLayoutView="85" workbookViewId="0">
      <selection activeCell="F36" sqref="F36"/>
    </sheetView>
  </sheetViews>
  <sheetFormatPr defaultColWidth="9.140625" defaultRowHeight="15"/>
  <cols>
    <col min="1" max="1" width="10.42578125" style="56" customWidth="1"/>
    <col min="2" max="2" width="15.140625" style="26" customWidth="1"/>
    <col min="3" max="3" width="59.140625" style="9" customWidth="1"/>
    <col min="4" max="4" width="16.42578125" style="9" bestFit="1"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8" t="s">
        <v>114</v>
      </c>
    </row>
    <row r="2" spans="1:11" ht="15.75">
      <c r="A2" s="898" t="s">
        <v>114</v>
      </c>
    </row>
    <row r="3" spans="1:11">
      <c r="A3" s="1653" t="s">
        <v>387</v>
      </c>
      <c r="B3" s="1653"/>
      <c r="C3" s="1653"/>
      <c r="D3" s="1653"/>
      <c r="E3" s="1653"/>
      <c r="F3" s="1653"/>
      <c r="G3" s="1653"/>
      <c r="H3" s="38"/>
    </row>
    <row r="4" spans="1:11" ht="17.25" customHeight="1">
      <c r="A4" s="1654" t="str">
        <f>"Cost of Service Formula Rate Using Actual/Projected FF1 Balances"</f>
        <v>Cost of Service Formula Rate Using Actual/Projected FF1 Balances</v>
      </c>
      <c r="B4" s="1654"/>
      <c r="C4" s="1654"/>
      <c r="D4" s="1654"/>
      <c r="E4" s="1654"/>
      <c r="F4" s="1654"/>
      <c r="G4" s="1654"/>
      <c r="H4" s="95"/>
      <c r="I4" s="95"/>
      <c r="J4" s="95"/>
      <c r="K4" s="95"/>
    </row>
    <row r="5" spans="1:11" ht="18" customHeight="1">
      <c r="A5" s="1654" t="s">
        <v>488</v>
      </c>
      <c r="B5" s="1654"/>
      <c r="C5" s="1654"/>
      <c r="D5" s="1654"/>
      <c r="E5" s="1654"/>
      <c r="F5" s="1654"/>
      <c r="G5" s="1654"/>
    </row>
    <row r="6" spans="1:11" ht="19.5" customHeight="1">
      <c r="A6" s="1665" t="str">
        <f>TCOS!F9</f>
        <v>Ohio Power Company</v>
      </c>
      <c r="B6" s="1665"/>
      <c r="C6" s="1665"/>
      <c r="D6" s="1665"/>
      <c r="E6" s="1665"/>
      <c r="F6" s="1665"/>
      <c r="G6" s="1665"/>
    </row>
    <row r="7" spans="1:11" ht="12.75" customHeight="1">
      <c r="A7" s="1653"/>
      <c r="B7" s="1653"/>
      <c r="C7" s="1653"/>
      <c r="D7" s="1653"/>
      <c r="E7" s="1653"/>
      <c r="F7" s="1653"/>
      <c r="G7" s="44"/>
    </row>
    <row r="8" spans="1:11" ht="18">
      <c r="A8" s="1694"/>
      <c r="B8" s="1694"/>
      <c r="C8" s="1694"/>
      <c r="D8" s="1694"/>
      <c r="E8" s="1694"/>
      <c r="F8" s="1694"/>
      <c r="G8" s="1694"/>
    </row>
    <row r="9" spans="1:11" ht="18">
      <c r="A9" s="160"/>
      <c r="B9" s="160"/>
      <c r="C9" s="160"/>
      <c r="D9" s="160"/>
      <c r="E9" s="160"/>
      <c r="F9" s="160"/>
      <c r="G9" s="160"/>
    </row>
    <row r="10" spans="1:11" ht="15.75">
      <c r="B10" s="35" t="s">
        <v>162</v>
      </c>
      <c r="C10" s="35" t="s">
        <v>163</v>
      </c>
      <c r="D10" s="35" t="s">
        <v>164</v>
      </c>
      <c r="E10" s="35" t="s">
        <v>165</v>
      </c>
      <c r="F10" s="35" t="s">
        <v>84</v>
      </c>
      <c r="G10" s="35" t="s">
        <v>85</v>
      </c>
    </row>
    <row r="11" spans="1:11" ht="15.75">
      <c r="B11" s="48"/>
      <c r="C11" s="44"/>
      <c r="D11" s="198"/>
      <c r="E11" s="199"/>
      <c r="F11" s="200" t="s">
        <v>87</v>
      </c>
      <c r="G11" s="35"/>
    </row>
    <row r="12" spans="1:11" ht="15.75">
      <c r="A12" s="51" t="s">
        <v>169</v>
      </c>
      <c r="B12" s="48"/>
      <c r="C12" s="57"/>
      <c r="D12" s="51">
        <f>+TCOS!L4</f>
        <v>2021</v>
      </c>
      <c r="E12" s="200" t="s">
        <v>87</v>
      </c>
      <c r="F12" s="51" t="s">
        <v>115</v>
      </c>
      <c r="G12" s="35"/>
    </row>
    <row r="13" spans="1:11" ht="15.75">
      <c r="A13" s="51" t="s">
        <v>106</v>
      </c>
      <c r="B13" s="51" t="s">
        <v>36</v>
      </c>
      <c r="C13" s="51" t="s">
        <v>167</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496</v>
      </c>
      <c r="D17" s="42"/>
      <c r="E17" s="42"/>
      <c r="F17" s="42"/>
      <c r="G17" s="88"/>
    </row>
    <row r="18" spans="1:7">
      <c r="A18" s="56">
        <v>1</v>
      </c>
      <c r="B18" s="1312">
        <v>5660005</v>
      </c>
      <c r="C18" s="856" t="s">
        <v>967</v>
      </c>
      <c r="D18" s="857">
        <v>7116696.4000000004</v>
      </c>
      <c r="E18" s="65"/>
      <c r="F18" s="65"/>
      <c r="G18" s="882"/>
    </row>
    <row r="19" spans="1:7">
      <c r="A19" s="56">
        <v>2</v>
      </c>
      <c r="B19" s="855"/>
      <c r="C19" s="856"/>
      <c r="D19" s="857"/>
      <c r="E19" s="65"/>
      <c r="F19" s="65"/>
      <c r="G19" s="41"/>
    </row>
    <row r="20" spans="1:7">
      <c r="A20" s="56">
        <v>3</v>
      </c>
      <c r="B20" s="855"/>
      <c r="C20" s="856"/>
      <c r="D20" s="857"/>
      <c r="E20" s="65"/>
      <c r="F20" s="65"/>
      <c r="G20" s="41"/>
    </row>
    <row r="21" spans="1:7" ht="15.75">
      <c r="A21" s="56">
        <v>4</v>
      </c>
      <c r="B21" s="51"/>
      <c r="C21" s="223" t="s">
        <v>118</v>
      </c>
      <c r="D21" s="293">
        <f>SUM(D18:D19)</f>
        <v>7116696.4000000004</v>
      </c>
      <c r="E21" s="65"/>
      <c r="F21" s="65"/>
      <c r="G21" s="51"/>
    </row>
    <row r="22" spans="1:7" ht="15.75">
      <c r="B22" s="51"/>
      <c r="C22" s="223"/>
      <c r="D22" s="238"/>
      <c r="E22" s="42"/>
      <c r="F22" s="42"/>
      <c r="G22" s="51"/>
    </row>
    <row r="23" spans="1:7" ht="15.75">
      <c r="A23" s="9"/>
      <c r="B23" s="51"/>
      <c r="C23" s="51" t="s">
        <v>49</v>
      </c>
      <c r="D23" s="287"/>
      <c r="E23" s="42"/>
      <c r="F23" s="42"/>
      <c r="G23" s="51"/>
    </row>
    <row r="24" spans="1:7" ht="15.75">
      <c r="A24" s="50">
        <f>+A21+1</f>
        <v>5</v>
      </c>
      <c r="B24" s="290"/>
      <c r="C24" s="288"/>
      <c r="D24" s="1129"/>
      <c r="E24" s="42"/>
      <c r="F24" s="42"/>
      <c r="G24" s="51"/>
    </row>
    <row r="25" spans="1:7" ht="15.75">
      <c r="A25" s="289">
        <f>+A24+1</f>
        <v>6</v>
      </c>
      <c r="B25" s="290" t="s">
        <v>50</v>
      </c>
      <c r="C25" s="290" t="s">
        <v>51</v>
      </c>
      <c r="D25" s="858">
        <v>0</v>
      </c>
      <c r="E25" s="42"/>
      <c r="F25" s="42"/>
      <c r="G25" s="51"/>
    </row>
    <row r="26" spans="1:7" ht="15.75">
      <c r="A26" s="50">
        <f>+A25+1</f>
        <v>7</v>
      </c>
      <c r="B26" s="288" t="s">
        <v>52</v>
      </c>
      <c r="C26" s="288" t="s">
        <v>53</v>
      </c>
      <c r="D26" s="858">
        <v>350630.13</v>
      </c>
      <c r="E26" s="42"/>
      <c r="F26" s="42"/>
      <c r="G26" s="51"/>
    </row>
    <row r="27" spans="1:7" ht="15.75">
      <c r="A27" s="289">
        <f t="shared" ref="A27:A32" si="0">+A26+1</f>
        <v>8</v>
      </c>
      <c r="B27" s="290" t="s">
        <v>54</v>
      </c>
      <c r="C27" s="290" t="s">
        <v>55</v>
      </c>
      <c r="D27" s="859">
        <v>0</v>
      </c>
      <c r="E27" s="42"/>
      <c r="F27" s="42"/>
      <c r="G27" s="51"/>
    </row>
    <row r="28" spans="1:7" ht="15.75">
      <c r="A28" s="50">
        <f t="shared" si="0"/>
        <v>9</v>
      </c>
      <c r="B28" s="288" t="s">
        <v>56</v>
      </c>
      <c r="C28" s="288" t="s">
        <v>57</v>
      </c>
      <c r="D28" s="858">
        <v>109602.58</v>
      </c>
      <c r="E28" s="42"/>
      <c r="F28" s="42"/>
      <c r="G28" s="51"/>
    </row>
    <row r="29" spans="1:7" ht="15.75">
      <c r="A29" s="289">
        <f t="shared" si="0"/>
        <v>10</v>
      </c>
      <c r="B29" s="290" t="s">
        <v>58</v>
      </c>
      <c r="C29" s="290" t="s">
        <v>59</v>
      </c>
      <c r="D29" s="858">
        <v>498426.94</v>
      </c>
      <c r="E29" s="42"/>
      <c r="F29" s="42"/>
      <c r="G29" s="51"/>
    </row>
    <row r="30" spans="1:7" ht="15.75">
      <c r="A30" s="50">
        <f t="shared" si="0"/>
        <v>11</v>
      </c>
      <c r="B30" s="288" t="s">
        <v>60</v>
      </c>
      <c r="C30" s="288" t="s">
        <v>61</v>
      </c>
      <c r="D30" s="858">
        <v>0</v>
      </c>
      <c r="E30" s="42"/>
      <c r="F30" s="42"/>
      <c r="G30" s="51"/>
    </row>
    <row r="31" spans="1:7" ht="15.75">
      <c r="A31" s="289">
        <f t="shared" si="0"/>
        <v>12</v>
      </c>
      <c r="B31" s="290" t="s">
        <v>62</v>
      </c>
      <c r="C31" s="290" t="s">
        <v>63</v>
      </c>
      <c r="D31" s="858">
        <v>0</v>
      </c>
      <c r="E31" s="42"/>
      <c r="F31" s="42"/>
      <c r="G31" s="51"/>
    </row>
    <row r="32" spans="1:7" ht="15.75">
      <c r="A32" s="50">
        <f t="shared" si="0"/>
        <v>13</v>
      </c>
      <c r="B32" s="288" t="s">
        <v>64</v>
      </c>
      <c r="C32" s="288" t="s">
        <v>65</v>
      </c>
      <c r="D32" s="858">
        <v>0</v>
      </c>
      <c r="E32" s="42"/>
      <c r="F32" s="42"/>
      <c r="G32" s="51"/>
    </row>
    <row r="33" spans="1:19" ht="15.75">
      <c r="A33" s="56">
        <f>+A32+1</f>
        <v>14</v>
      </c>
      <c r="B33" s="263"/>
      <c r="C33" s="35" t="s">
        <v>66</v>
      </c>
      <c r="D33" s="264">
        <f>SUM(D24:D32)</f>
        <v>958659.65</v>
      </c>
      <c r="E33" s="42"/>
      <c r="F33" s="42"/>
      <c r="G33" s="51"/>
    </row>
    <row r="34" spans="1:19" ht="15.75">
      <c r="A34" s="219"/>
      <c r="B34" s="64"/>
      <c r="C34" s="51"/>
      <c r="D34" s="51"/>
      <c r="E34" s="51"/>
      <c r="F34" s="51"/>
      <c r="G34" s="51"/>
    </row>
    <row r="35" spans="1:19" ht="15.75">
      <c r="A35" s="219"/>
      <c r="B35" s="50"/>
      <c r="C35" s="99" t="s">
        <v>212</v>
      </c>
      <c r="D35" s="44"/>
      <c r="E35" s="44"/>
      <c r="F35" s="44"/>
      <c r="G35" s="44"/>
    </row>
    <row r="36" spans="1:19">
      <c r="A36" s="56">
        <f>+A33+1</f>
        <v>15</v>
      </c>
      <c r="B36" s="1234" t="s">
        <v>903</v>
      </c>
      <c r="C36" s="856" t="s">
        <v>904</v>
      </c>
      <c r="D36" s="1235">
        <v>5289578.59</v>
      </c>
      <c r="E36" s="1623">
        <f t="shared" ref="E36" si="1">D36-F36</f>
        <v>3649199.4642593442</v>
      </c>
      <c r="F36" s="42">
        <v>1640379.1257406559</v>
      </c>
      <c r="G36" s="41" t="s">
        <v>114</v>
      </c>
    </row>
    <row r="37" spans="1:19">
      <c r="A37" s="56">
        <f>+A36+1</f>
        <v>16</v>
      </c>
      <c r="B37" s="855" t="s">
        <v>968</v>
      </c>
      <c r="C37" s="856" t="s">
        <v>971</v>
      </c>
      <c r="D37" s="1235">
        <v>379718.75</v>
      </c>
      <c r="E37" s="42">
        <f>D37</f>
        <v>379718.75</v>
      </c>
      <c r="F37" s="42">
        <v>0</v>
      </c>
      <c r="G37" s="41" t="s">
        <v>114</v>
      </c>
    </row>
    <row r="38" spans="1:19">
      <c r="A38" s="56">
        <f>+A37+1</f>
        <v>17</v>
      </c>
      <c r="B38" s="855" t="s">
        <v>969</v>
      </c>
      <c r="C38" s="856" t="s">
        <v>972</v>
      </c>
      <c r="D38" s="1235">
        <v>1452055.65</v>
      </c>
      <c r="E38" s="42">
        <f>D38</f>
        <v>1452055.65</v>
      </c>
      <c r="F38" s="42">
        <v>0</v>
      </c>
      <c r="G38" s="41" t="s">
        <v>114</v>
      </c>
    </row>
    <row r="39" spans="1:19">
      <c r="A39" s="56">
        <f>+A38+1</f>
        <v>18</v>
      </c>
      <c r="B39" s="855" t="s">
        <v>970</v>
      </c>
      <c r="C39" s="856" t="s">
        <v>973</v>
      </c>
      <c r="D39" s="1235">
        <v>37402.33</v>
      </c>
      <c r="E39" s="42">
        <v>0</v>
      </c>
      <c r="F39" s="42">
        <f>D39</f>
        <v>37402.33</v>
      </c>
      <c r="G39" s="41" t="s">
        <v>114</v>
      </c>
    </row>
    <row r="40" spans="1:19" ht="12.75" customHeight="1">
      <c r="A40" s="56">
        <f>+A39+1</f>
        <v>19</v>
      </c>
      <c r="B40" s="855"/>
      <c r="C40" s="856"/>
      <c r="D40" s="856"/>
      <c r="E40" s="45"/>
      <c r="F40" s="46"/>
      <c r="G40" s="44"/>
    </row>
    <row r="41" spans="1:19" ht="15.75" customHeight="1">
      <c r="A41" s="56">
        <f>+A40+1</f>
        <v>20</v>
      </c>
      <c r="B41" s="48"/>
      <c r="C41" s="1130" t="s">
        <v>621</v>
      </c>
      <c r="D41" s="59">
        <f>SUM(D36:D39)</f>
        <v>7158755.3200000003</v>
      </c>
      <c r="E41" s="59">
        <f>SUM(E36:E39)</f>
        <v>5480973.8642593436</v>
      </c>
      <c r="F41" s="59">
        <f>SUM(F36:F39)</f>
        <v>1677781.455740656</v>
      </c>
      <c r="G41" s="28"/>
    </row>
    <row r="42" spans="1:19" ht="12.75" customHeight="1">
      <c r="B42" s="48"/>
      <c r="C42" s="49"/>
      <c r="D42" s="63"/>
      <c r="E42" s="31"/>
      <c r="F42" s="31"/>
      <c r="G42" s="44"/>
    </row>
    <row r="43" spans="1:19" ht="15.75">
      <c r="B43" s="50"/>
      <c r="C43" s="99" t="s">
        <v>211</v>
      </c>
      <c r="D43" s="31"/>
      <c r="E43" s="31"/>
      <c r="F43" s="31"/>
      <c r="G43" s="44"/>
    </row>
    <row r="44" spans="1:19">
      <c r="A44" s="56">
        <f>+A41+1</f>
        <v>21</v>
      </c>
      <c r="B44" s="1234" t="s">
        <v>905</v>
      </c>
      <c r="C44" s="856" t="s">
        <v>906</v>
      </c>
      <c r="D44" s="1235">
        <v>10425</v>
      </c>
      <c r="E44" s="42">
        <f>+D44</f>
        <v>10425</v>
      </c>
      <c r="F44" s="42">
        <v>0</v>
      </c>
      <c r="G44"/>
      <c r="M44" s="27"/>
      <c r="N44" s="61"/>
      <c r="O44" s="62"/>
      <c r="P44" s="62"/>
      <c r="Q44" s="62"/>
      <c r="R44" s="62"/>
      <c r="S44" s="29"/>
    </row>
    <row r="45" spans="1:19">
      <c r="A45" s="56">
        <f>+A44+1</f>
        <v>22</v>
      </c>
      <c r="B45" s="855" t="s">
        <v>974</v>
      </c>
      <c r="C45" s="856" t="s">
        <v>979</v>
      </c>
      <c r="D45" s="1235">
        <v>421.14</v>
      </c>
      <c r="E45" s="42">
        <f t="shared" ref="E45:E50" si="2">+D45</f>
        <v>421.14</v>
      </c>
      <c r="F45" s="42">
        <v>0</v>
      </c>
      <c r="G45"/>
      <c r="M45" s="27"/>
      <c r="N45" s="61"/>
      <c r="O45" s="62"/>
      <c r="P45" s="62"/>
      <c r="Q45" s="62"/>
      <c r="R45" s="62"/>
      <c r="S45" s="29"/>
    </row>
    <row r="46" spans="1:19">
      <c r="A46" s="56">
        <f t="shared" ref="A46:A59" si="3">+A45+1</f>
        <v>23</v>
      </c>
      <c r="B46" s="855" t="s">
        <v>975</v>
      </c>
      <c r="C46" s="856" t="s">
        <v>980</v>
      </c>
      <c r="D46" s="1235">
        <v>390030</v>
      </c>
      <c r="E46" s="42">
        <f t="shared" si="2"/>
        <v>390030</v>
      </c>
      <c r="F46" s="42">
        <v>0</v>
      </c>
      <c r="G46"/>
      <c r="M46" s="27"/>
      <c r="N46" s="61"/>
      <c r="O46" s="62"/>
      <c r="P46" s="62"/>
      <c r="Q46" s="62"/>
      <c r="R46" s="62"/>
      <c r="S46" s="29"/>
    </row>
    <row r="47" spans="1:19">
      <c r="A47" s="56">
        <f t="shared" si="3"/>
        <v>24</v>
      </c>
      <c r="B47" s="855" t="s">
        <v>976</v>
      </c>
      <c r="C47" s="856" t="s">
        <v>981</v>
      </c>
      <c r="D47" s="1235">
        <v>111.63</v>
      </c>
      <c r="E47" s="42">
        <f t="shared" si="2"/>
        <v>111.63</v>
      </c>
      <c r="F47" s="42">
        <v>0</v>
      </c>
      <c r="G47"/>
      <c r="M47" s="27"/>
      <c r="N47" s="61"/>
      <c r="O47" s="62"/>
      <c r="P47" s="62"/>
      <c r="Q47" s="62"/>
      <c r="R47" s="62"/>
      <c r="S47" s="29"/>
    </row>
    <row r="48" spans="1:19">
      <c r="A48" s="56">
        <f>+A47+1</f>
        <v>25</v>
      </c>
      <c r="B48" s="855" t="s">
        <v>977</v>
      </c>
      <c r="C48" s="856" t="s">
        <v>982</v>
      </c>
      <c r="D48" s="1235">
        <v>135451</v>
      </c>
      <c r="E48" s="42">
        <f t="shared" si="2"/>
        <v>135451</v>
      </c>
      <c r="F48" s="42">
        <v>0</v>
      </c>
      <c r="G48"/>
      <c r="M48" s="27"/>
      <c r="N48" s="61"/>
      <c r="O48" s="62"/>
      <c r="P48" s="62"/>
      <c r="Q48" s="62"/>
      <c r="R48" s="62"/>
      <c r="S48" s="29"/>
    </row>
    <row r="49" spans="1:19">
      <c r="A49" s="56">
        <f t="shared" si="3"/>
        <v>26</v>
      </c>
      <c r="B49" s="855" t="s">
        <v>1258</v>
      </c>
      <c r="C49" s="856" t="s">
        <v>1257</v>
      </c>
      <c r="D49" s="1235">
        <v>502.23</v>
      </c>
      <c r="E49" s="42">
        <f t="shared" si="2"/>
        <v>502.23</v>
      </c>
      <c r="F49" s="42">
        <v>0</v>
      </c>
      <c r="G49"/>
      <c r="M49" s="27"/>
      <c r="N49" s="61"/>
      <c r="O49" s="62"/>
      <c r="P49" s="62"/>
      <c r="Q49" s="62"/>
      <c r="R49" s="62"/>
      <c r="S49" s="29"/>
    </row>
    <row r="50" spans="1:19">
      <c r="A50" s="56">
        <f t="shared" si="3"/>
        <v>27</v>
      </c>
      <c r="B50" s="855" t="s">
        <v>978</v>
      </c>
      <c r="C50" s="856" t="s">
        <v>983</v>
      </c>
      <c r="D50" s="1235">
        <v>40614.06</v>
      </c>
      <c r="E50" s="42">
        <f t="shared" si="2"/>
        <v>40614.06</v>
      </c>
      <c r="F50" s="42">
        <v>0</v>
      </c>
      <c r="G50"/>
      <c r="M50" s="27"/>
      <c r="N50" s="61"/>
      <c r="O50" s="62"/>
      <c r="P50" s="62"/>
      <c r="Q50" s="62"/>
      <c r="R50" s="62"/>
      <c r="S50" s="29"/>
    </row>
    <row r="51" spans="1:19">
      <c r="A51" s="56">
        <f t="shared" si="3"/>
        <v>28</v>
      </c>
      <c r="B51" s="855"/>
      <c r="C51" s="856"/>
      <c r="D51" s="857"/>
      <c r="E51" s="42"/>
      <c r="F51" s="42"/>
      <c r="G51"/>
      <c r="M51" s="27"/>
      <c r="N51" s="61"/>
      <c r="O51" s="62"/>
      <c r="P51" s="62"/>
      <c r="Q51" s="62"/>
      <c r="R51" s="62"/>
      <c r="S51" s="29"/>
    </row>
    <row r="52" spans="1:19">
      <c r="A52" s="56">
        <f>A51+1</f>
        <v>29</v>
      </c>
      <c r="B52" s="855"/>
      <c r="C52" s="856"/>
      <c r="D52" s="857"/>
      <c r="E52" s="42"/>
      <c r="F52" s="42"/>
      <c r="G52"/>
      <c r="M52" s="27"/>
      <c r="N52" s="61"/>
      <c r="O52" s="62"/>
      <c r="P52" s="62"/>
      <c r="Q52" s="62"/>
      <c r="R52" s="62"/>
      <c r="S52" s="29"/>
    </row>
    <row r="53" spans="1:19">
      <c r="A53" s="56">
        <f>A52+1</f>
        <v>30</v>
      </c>
      <c r="B53" s="855"/>
      <c r="C53" s="856"/>
      <c r="D53" s="857"/>
      <c r="E53" s="42"/>
      <c r="F53" s="42"/>
      <c r="G53"/>
      <c r="M53" s="27"/>
      <c r="N53" s="61"/>
      <c r="O53" s="62"/>
      <c r="P53" s="62"/>
      <c r="Q53" s="62"/>
      <c r="R53" s="62"/>
      <c r="S53" s="29"/>
    </row>
    <row r="54" spans="1:19">
      <c r="A54" s="56">
        <f>A53+1</f>
        <v>31</v>
      </c>
      <c r="B54" s="855"/>
      <c r="C54" s="856"/>
      <c r="D54" s="857"/>
      <c r="E54" s="42"/>
      <c r="F54" s="42"/>
      <c r="G54"/>
      <c r="M54" s="27"/>
      <c r="N54" s="61"/>
      <c r="O54" s="62"/>
      <c r="P54" s="62"/>
      <c r="Q54" s="62"/>
      <c r="R54" s="62"/>
      <c r="S54" s="29"/>
    </row>
    <row r="55" spans="1:19">
      <c r="A55" s="56">
        <f>A54+1</f>
        <v>32</v>
      </c>
      <c r="B55" s="855"/>
      <c r="C55" s="856"/>
      <c r="D55" s="857"/>
      <c r="E55" s="42"/>
      <c r="F55" s="47"/>
      <c r="G55"/>
      <c r="M55" s="27"/>
      <c r="N55" s="61"/>
      <c r="O55" s="62"/>
      <c r="P55" s="62"/>
      <c r="Q55" s="62"/>
      <c r="R55" s="62"/>
      <c r="S55" s="29"/>
    </row>
    <row r="56" spans="1:19">
      <c r="A56" s="56">
        <f t="shared" si="3"/>
        <v>33</v>
      </c>
      <c r="B56" s="855"/>
      <c r="C56" s="856"/>
      <c r="D56" s="857"/>
      <c r="E56" s="42"/>
      <c r="F56" s="47"/>
      <c r="G56"/>
    </row>
    <row r="57" spans="1:19">
      <c r="A57" s="56">
        <f t="shared" si="3"/>
        <v>34</v>
      </c>
      <c r="B57" s="855"/>
      <c r="C57" s="856"/>
      <c r="D57" s="857"/>
      <c r="E57" s="42"/>
      <c r="F57" s="47"/>
      <c r="G57" s="44"/>
    </row>
    <row r="58" spans="1:19">
      <c r="A58" s="56">
        <f t="shared" si="3"/>
        <v>35</v>
      </c>
      <c r="B58" s="855"/>
      <c r="C58" s="856"/>
      <c r="D58" s="857"/>
      <c r="E58" s="42"/>
      <c r="F58" s="47"/>
      <c r="G58" s="44"/>
    </row>
    <row r="59" spans="1:19">
      <c r="A59" s="56">
        <f t="shared" si="3"/>
        <v>36</v>
      </c>
      <c r="B59" s="855"/>
      <c r="C59" s="856"/>
      <c r="D59" s="857"/>
      <c r="E59" s="42"/>
      <c r="F59" s="47"/>
      <c r="G59" s="44"/>
    </row>
    <row r="60" spans="1:19">
      <c r="B60" s="43"/>
      <c r="C60" s="44"/>
      <c r="D60" s="52"/>
      <c r="E60" s="53"/>
      <c r="F60" s="52"/>
      <c r="G60" s="44"/>
    </row>
    <row r="61" spans="1:19" ht="15.75">
      <c r="A61" s="56">
        <f>A59+1</f>
        <v>37</v>
      </c>
      <c r="B61" s="48"/>
      <c r="C61" s="1130" t="s">
        <v>622</v>
      </c>
      <c r="D61" s="54">
        <f>SUM(D44:D60)</f>
        <v>577555.06000000006</v>
      </c>
      <c r="E61" s="54">
        <f>SUM(E44:E60)</f>
        <v>577555.06000000006</v>
      </c>
      <c r="F61" s="54">
        <f>SUM(F44:F59)</f>
        <v>0</v>
      </c>
      <c r="G61" s="28"/>
    </row>
    <row r="62" spans="1:19" ht="12.75" customHeight="1">
      <c r="B62" s="37"/>
      <c r="C62" s="37"/>
      <c r="D62" s="37"/>
      <c r="E62" s="37"/>
      <c r="F62" s="37"/>
      <c r="G62" s="37"/>
    </row>
    <row r="63" spans="1:19" ht="15.75">
      <c r="B63" s="35"/>
      <c r="C63" s="99" t="s">
        <v>210</v>
      </c>
      <c r="D63" s="55"/>
      <c r="E63" s="55"/>
      <c r="F63" s="55"/>
      <c r="G63" s="35"/>
    </row>
    <row r="64" spans="1:19">
      <c r="A64" s="56">
        <f>+A61+1</f>
        <v>38</v>
      </c>
      <c r="B64" s="1234" t="s">
        <v>907</v>
      </c>
      <c r="C64" s="856" t="s">
        <v>908</v>
      </c>
      <c r="D64" s="1235">
        <v>794694.69000000006</v>
      </c>
      <c r="E64" s="42">
        <f>+D64</f>
        <v>794694.69000000006</v>
      </c>
      <c r="F64" s="47">
        <v>0</v>
      </c>
      <c r="G64" s="27"/>
      <c r="H64" s="27"/>
      <c r="J64" s="29"/>
      <c r="K64" s="29"/>
    </row>
    <row r="65" spans="1:11">
      <c r="A65" s="56">
        <f>+A64+1</f>
        <v>39</v>
      </c>
      <c r="B65" s="1234" t="s">
        <v>909</v>
      </c>
      <c r="C65" s="856" t="s">
        <v>910</v>
      </c>
      <c r="D65" s="1235">
        <v>234506.446</v>
      </c>
      <c r="E65" s="42">
        <f>+D65</f>
        <v>234506.446</v>
      </c>
      <c r="F65" s="47">
        <v>0</v>
      </c>
      <c r="G65" s="27"/>
      <c r="H65" s="27"/>
      <c r="J65" s="29"/>
      <c r="K65" s="29"/>
    </row>
    <row r="66" spans="1:11">
      <c r="A66" s="56">
        <f>+A65+1</f>
        <v>40</v>
      </c>
      <c r="B66" s="1234" t="s">
        <v>911</v>
      </c>
      <c r="C66" s="856" t="s">
        <v>912</v>
      </c>
      <c r="D66" s="1235">
        <v>2342.13</v>
      </c>
      <c r="E66" s="42">
        <f>+D66</f>
        <v>2342.13</v>
      </c>
      <c r="F66" s="47">
        <v>0</v>
      </c>
      <c r="G66" s="27"/>
      <c r="H66" s="27"/>
      <c r="J66" s="29"/>
      <c r="K66" s="29"/>
    </row>
    <row r="67" spans="1:11">
      <c r="A67" s="56">
        <f t="shared" ref="A67:A69" si="4">+A66+1</f>
        <v>41</v>
      </c>
      <c r="B67" s="1234" t="s">
        <v>913</v>
      </c>
      <c r="C67" s="856" t="s">
        <v>914</v>
      </c>
      <c r="D67" s="1235">
        <v>8.17</v>
      </c>
      <c r="E67" s="42">
        <f>D67</f>
        <v>8.17</v>
      </c>
      <c r="F67" s="47">
        <v>0</v>
      </c>
      <c r="G67" s="27"/>
      <c r="H67" s="27"/>
      <c r="J67" s="29"/>
      <c r="K67" s="29"/>
    </row>
    <row r="68" spans="1:11">
      <c r="A68" s="56">
        <f t="shared" si="4"/>
        <v>42</v>
      </c>
      <c r="B68" s="1234" t="s">
        <v>915</v>
      </c>
      <c r="C68" s="856" t="s">
        <v>916</v>
      </c>
      <c r="D68" s="1235">
        <v>2003192.05</v>
      </c>
      <c r="E68" s="42">
        <f>D68-F68</f>
        <v>1730050.01</v>
      </c>
      <c r="F68" s="47">
        <v>273142.03999999998</v>
      </c>
      <c r="G68" s="27"/>
      <c r="H68" s="27"/>
      <c r="J68" s="29"/>
      <c r="K68" s="29"/>
    </row>
    <row r="69" spans="1:11">
      <c r="A69" s="56">
        <f t="shared" si="4"/>
        <v>43</v>
      </c>
      <c r="B69" s="1234">
        <v>9302017</v>
      </c>
      <c r="C69" s="856" t="s">
        <v>1259</v>
      </c>
      <c r="D69" s="1236">
        <v>-1.08</v>
      </c>
      <c r="E69" s="1556">
        <f>+D69</f>
        <v>-1.08</v>
      </c>
      <c r="F69" s="296">
        <v>0</v>
      </c>
      <c r="G69" s="37"/>
    </row>
    <row r="70" spans="1:11">
      <c r="B70" s="294"/>
      <c r="C70" s="297"/>
      <c r="D70" s="298"/>
      <c r="E70" s="295"/>
      <c r="F70" s="295"/>
      <c r="G70" s="37"/>
    </row>
    <row r="71" spans="1:11" ht="15.75">
      <c r="A71" s="56">
        <f>+A69+1</f>
        <v>44</v>
      </c>
      <c r="B71" s="37"/>
      <c r="C71" s="1130" t="s">
        <v>623</v>
      </c>
      <c r="D71" s="296">
        <f>SUM(D64:D69)</f>
        <v>3034742.406</v>
      </c>
      <c r="E71" s="296">
        <f>SUM(E64:E69)</f>
        <v>2761600.3659999999</v>
      </c>
      <c r="F71" s="296">
        <f>SUM(F64:F69)</f>
        <v>273142.03999999998</v>
      </c>
      <c r="G71" s="28"/>
    </row>
    <row r="72" spans="1:11">
      <c r="B72" s="87"/>
      <c r="C72" s="21"/>
      <c r="D72" s="292"/>
      <c r="E72" s="21"/>
      <c r="F72" s="21"/>
      <c r="G72" s="21"/>
    </row>
    <row r="73" spans="1:11" ht="12.75">
      <c r="A73"/>
      <c r="B73"/>
      <c r="C73"/>
      <c r="D73"/>
      <c r="E73"/>
      <c r="F73"/>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2"/>
  <sheetViews>
    <sheetView view="pageBreakPreview" zoomScaleNormal="100" zoomScaleSheetLayoutView="100" workbookViewId="0">
      <selection activeCell="G29" sqref="G29"/>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8" t="s">
        <v>114</v>
      </c>
    </row>
    <row r="2" spans="1:15" ht="15.75">
      <c r="A2" s="898" t="s">
        <v>114</v>
      </c>
    </row>
    <row r="3" spans="1:15" ht="15">
      <c r="A3" s="1653" t="s">
        <v>387</v>
      </c>
      <c r="B3" s="1653"/>
      <c r="C3" s="1653"/>
      <c r="D3" s="1653"/>
      <c r="E3" s="1653"/>
      <c r="F3" s="1653"/>
      <c r="G3" s="1653"/>
      <c r="H3" s="1653"/>
    </row>
    <row r="4" spans="1:15" ht="15">
      <c r="A4" s="1654" t="str">
        <f>"Cost of Service Formula Rate Using Actual/Projected FF1 Balances"</f>
        <v>Cost of Service Formula Rate Using Actual/Projected FF1 Balances</v>
      </c>
      <c r="B4" s="1654"/>
      <c r="C4" s="1654"/>
      <c r="D4" s="1654"/>
      <c r="E4" s="1654"/>
      <c r="F4" s="1654"/>
      <c r="G4" s="1654"/>
      <c r="H4" s="1654"/>
    </row>
    <row r="5" spans="1:15" ht="15">
      <c r="A5" s="1654" t="s">
        <v>527</v>
      </c>
      <c r="B5" s="1654"/>
      <c r="C5" s="1654"/>
      <c r="D5" s="1654"/>
      <c r="E5" s="1654"/>
      <c r="F5" s="1654"/>
      <c r="G5" s="1654"/>
      <c r="H5" s="1654"/>
    </row>
    <row r="6" spans="1:15" ht="15">
      <c r="A6" s="1665" t="str">
        <f>TCOS!F9</f>
        <v>Ohio Power Company</v>
      </c>
      <c r="B6" s="1665"/>
      <c r="C6" s="1665"/>
      <c r="D6" s="1665"/>
      <c r="E6" s="1665"/>
      <c r="F6" s="1665"/>
      <c r="G6" s="1665"/>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917</v>
      </c>
      <c r="C9" s="36"/>
      <c r="D9" s="39"/>
      <c r="E9" s="1577">
        <v>6.5000000000000002E-2</v>
      </c>
      <c r="F9" s="1237"/>
    </row>
    <row r="10" spans="1:15" ht="12.75" customHeight="1">
      <c r="A10" s="19"/>
      <c r="B10" s="17" t="s">
        <v>918</v>
      </c>
      <c r="C10" s="36"/>
      <c r="D10" s="36"/>
      <c r="E10" s="1578">
        <v>3.8E-3</v>
      </c>
      <c r="F10" s="1580"/>
    </row>
    <row r="11" spans="1:15" ht="12.75" customHeight="1">
      <c r="A11" s="19"/>
      <c r="B11" s="17" t="s">
        <v>448</v>
      </c>
      <c r="C11" s="36"/>
      <c r="D11" s="36"/>
      <c r="E11" s="1579"/>
      <c r="F11" s="1581">
        <f>ROUND(E9*E10,6)</f>
        <v>2.4699999999999999E-4</v>
      </c>
    </row>
    <row r="12" spans="1:15" ht="12.75" customHeight="1">
      <c r="A12" s="19"/>
      <c r="B12" s="17"/>
      <c r="C12" s="36"/>
      <c r="D12" s="36"/>
      <c r="E12" s="1579"/>
      <c r="F12" s="1581"/>
    </row>
    <row r="13" spans="1:15" ht="12.75" customHeight="1">
      <c r="A13" s="19"/>
      <c r="B13" s="17" t="s">
        <v>919</v>
      </c>
      <c r="C13" s="36"/>
      <c r="D13" s="36"/>
      <c r="E13" s="1577">
        <v>9.5000000000000001E-2</v>
      </c>
      <c r="F13" s="1580"/>
    </row>
    <row r="14" spans="1:15" ht="12.75" customHeight="1">
      <c r="A14" s="19"/>
      <c r="B14" s="17" t="s">
        <v>918</v>
      </c>
      <c r="C14" s="36"/>
      <c r="D14" s="36"/>
      <c r="E14" s="1578">
        <v>2.8999999999999998E-3</v>
      </c>
      <c r="F14" s="1580"/>
    </row>
    <row r="15" spans="1:15" ht="12.75" customHeight="1">
      <c r="A15" s="19"/>
      <c r="B15" s="17" t="s">
        <v>448</v>
      </c>
      <c r="C15" s="36"/>
      <c r="D15" s="36"/>
      <c r="E15" s="1579"/>
      <c r="F15" s="1581">
        <f>ROUND(E13*E14,6)</f>
        <v>2.7599999999999999E-4</v>
      </c>
    </row>
    <row r="16" spans="1:15" ht="12.75" customHeight="1">
      <c r="A16" s="19"/>
      <c r="B16" s="17"/>
      <c r="C16" s="36"/>
      <c r="D16" s="36"/>
      <c r="E16" s="1579"/>
      <c r="F16" s="1581"/>
    </row>
    <row r="17" spans="1:6" ht="12.75" customHeight="1">
      <c r="A17" s="19"/>
      <c r="B17" s="17" t="s">
        <v>920</v>
      </c>
      <c r="C17" s="36"/>
      <c r="D17" s="39"/>
      <c r="E17" s="1577">
        <v>0.06</v>
      </c>
      <c r="F17" s="1580"/>
    </row>
    <row r="18" spans="1:6" ht="12.75" customHeight="1">
      <c r="A18" s="19"/>
      <c r="B18" s="17" t="s">
        <v>918</v>
      </c>
      <c r="C18" s="36"/>
      <c r="D18" s="36"/>
      <c r="E18" s="1578">
        <v>1E-4</v>
      </c>
      <c r="F18" s="1580"/>
    </row>
    <row r="19" spans="1:6" ht="12.75" customHeight="1">
      <c r="A19" s="19"/>
      <c r="B19" s="17" t="s">
        <v>448</v>
      </c>
      <c r="C19" s="36"/>
      <c r="D19" s="36"/>
      <c r="E19" s="1579"/>
      <c r="F19" s="1581">
        <f>ROUND(E17*E18,6)</f>
        <v>6.0000000000000002E-6</v>
      </c>
    </row>
    <row r="20" spans="1:6" ht="12.75" customHeight="1">
      <c r="A20" s="19"/>
      <c r="B20" s="17"/>
      <c r="C20" s="36"/>
      <c r="D20" s="36"/>
      <c r="E20" s="1579"/>
      <c r="F20" s="1581"/>
    </row>
    <row r="21" spans="1:6" ht="12.75" customHeight="1">
      <c r="A21" s="19"/>
      <c r="B21" s="17" t="s">
        <v>921</v>
      </c>
      <c r="C21" s="36"/>
      <c r="D21" s="36"/>
      <c r="E21" s="1577">
        <v>0.05</v>
      </c>
      <c r="F21" s="1581"/>
    </row>
    <row r="22" spans="1:6" ht="12.75" customHeight="1">
      <c r="A22" s="19"/>
      <c r="B22" s="17" t="s">
        <v>918</v>
      </c>
      <c r="C22" s="36"/>
      <c r="D22" s="36"/>
      <c r="E22" s="1578">
        <v>6.9999999999999999E-4</v>
      </c>
      <c r="F22" s="1581"/>
    </row>
    <row r="23" spans="1:6" ht="12.75" customHeight="1">
      <c r="A23" s="19"/>
      <c r="B23" s="17" t="s">
        <v>448</v>
      </c>
      <c r="C23" s="36"/>
      <c r="D23" s="36"/>
      <c r="E23" s="1579"/>
      <c r="F23" s="1581">
        <f>ROUND(+E21*E22,6)</f>
        <v>3.4999999999999997E-5</v>
      </c>
    </row>
    <row r="24" spans="1:6" ht="12.75" customHeight="1">
      <c r="A24" s="19"/>
      <c r="B24" s="17"/>
      <c r="C24" s="36"/>
      <c r="D24" s="36"/>
      <c r="E24" s="1579"/>
      <c r="F24" s="40"/>
    </row>
    <row r="25" spans="1:6" ht="12.75" customHeight="1">
      <c r="A25" s="19"/>
      <c r="B25" s="17" t="s">
        <v>922</v>
      </c>
      <c r="C25" s="36"/>
      <c r="D25" s="39"/>
      <c r="E25" s="1577">
        <v>1.9900000000000001E-2</v>
      </c>
      <c r="F25" s="1237"/>
    </row>
    <row r="26" spans="1:6" ht="12.75" customHeight="1">
      <c r="A26" s="19"/>
      <c r="B26" s="17" t="s">
        <v>918</v>
      </c>
      <c r="C26" s="36"/>
      <c r="D26" s="36"/>
      <c r="E26" s="1578">
        <v>0.5897</v>
      </c>
      <c r="F26" s="1237"/>
    </row>
    <row r="27" spans="1:6" ht="12.75" customHeight="1">
      <c r="A27" s="19"/>
      <c r="B27" s="17" t="s">
        <v>448</v>
      </c>
      <c r="C27" s="36"/>
      <c r="D27" s="36"/>
      <c r="E27" s="1579"/>
      <c r="F27" s="40">
        <f>ROUND(E25*E26,6)</f>
        <v>1.1735000000000001E-2</v>
      </c>
    </row>
    <row r="28" spans="1:6" ht="12.75" customHeight="1">
      <c r="A28" s="19"/>
      <c r="B28" s="17"/>
      <c r="C28" s="36"/>
      <c r="D28" s="36"/>
      <c r="E28" s="1579"/>
      <c r="F28" s="40"/>
    </row>
    <row r="29" spans="1:6" ht="12.75" customHeight="1">
      <c r="A29" s="19"/>
      <c r="B29" s="17" t="s">
        <v>923</v>
      </c>
      <c r="C29" s="36"/>
      <c r="D29" s="39"/>
      <c r="E29" s="1577">
        <v>0</v>
      </c>
      <c r="F29" s="1238"/>
    </row>
    <row r="30" spans="1:6" ht="19.5" customHeight="1">
      <c r="A30" s="19"/>
      <c r="B30" s="17" t="s">
        <v>924</v>
      </c>
      <c r="C30" s="36"/>
      <c r="D30" s="39"/>
      <c r="E30" s="1577">
        <v>0</v>
      </c>
      <c r="F30" s="1238"/>
    </row>
    <row r="31" spans="1:6" ht="15.75" customHeight="1">
      <c r="A31" s="19"/>
      <c r="B31" s="17" t="s">
        <v>918</v>
      </c>
      <c r="C31" s="36"/>
      <c r="D31" s="36"/>
      <c r="E31" s="1578">
        <v>0</v>
      </c>
      <c r="F31" s="1238"/>
    </row>
    <row r="32" spans="1:6" ht="26.25" customHeight="1">
      <c r="A32" s="19"/>
      <c r="B32" s="17" t="s">
        <v>448</v>
      </c>
      <c r="C32" s="36"/>
      <c r="D32" s="36"/>
      <c r="E32" s="20"/>
      <c r="F32" s="1239">
        <f>ROUND(+E29*E30*E31,6)</f>
        <v>0</v>
      </c>
    </row>
    <row r="33" spans="1:12" ht="12.75" customHeight="1">
      <c r="A33" s="19"/>
      <c r="B33" s="17"/>
      <c r="C33" s="36"/>
      <c r="D33" s="36"/>
      <c r="E33" s="36"/>
      <c r="F33" s="1238"/>
    </row>
    <row r="34" spans="1:12" ht="29.25" customHeight="1" thickBot="1">
      <c r="A34" s="19"/>
      <c r="B34" s="20" t="s">
        <v>203</v>
      </c>
      <c r="C34" s="20"/>
      <c r="D34" s="20"/>
      <c r="E34" s="20"/>
      <c r="F34" s="1576">
        <f>ROUND(SUM(F11:F33),6)</f>
        <v>1.2298999999999999E-2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695" t="s">
        <v>114</v>
      </c>
      <c r="C39" s="1695"/>
      <c r="D39" s="1695"/>
      <c r="E39" s="1695"/>
      <c r="F39" s="1695"/>
      <c r="G39" s="1695"/>
      <c r="H39" s="21"/>
      <c r="I39" s="19"/>
      <c r="L39" s="21"/>
    </row>
    <row r="40" spans="1:12" ht="12.75" customHeight="1">
      <c r="A40" s="21"/>
      <c r="B40" s="1695"/>
      <c r="C40" s="1695"/>
      <c r="D40" s="1695"/>
      <c r="E40" s="1695"/>
      <c r="F40" s="1695"/>
      <c r="G40" s="1695"/>
      <c r="H40" s="21"/>
      <c r="L40" s="21"/>
    </row>
    <row r="41" spans="1:12" ht="17.25" customHeight="1">
      <c r="A41" s="21"/>
      <c r="B41" s="1695"/>
      <c r="C41" s="1695"/>
      <c r="D41" s="1695"/>
      <c r="E41" s="1695"/>
      <c r="F41" s="1695"/>
      <c r="G41" s="1695"/>
      <c r="H41" s="21"/>
      <c r="I41" s="21"/>
      <c r="L41" s="21"/>
    </row>
    <row r="42" spans="1:12" ht="18" customHeight="1">
      <c r="A42" s="5" t="s">
        <v>499</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71"/>
  <sheetViews>
    <sheetView view="pageBreakPreview" topLeftCell="A25" zoomScale="60" zoomScaleNormal="55" workbookViewId="0">
      <selection activeCell="E64" sqref="E64"/>
    </sheetView>
  </sheetViews>
  <sheetFormatPr defaultColWidth="9.140625" defaultRowHeight="15"/>
  <cols>
    <col min="1" max="1" width="7.42578125" style="125" customWidth="1"/>
    <col min="2" max="2" width="1.5703125" style="126" customWidth="1"/>
    <col min="3" max="3" width="62.42578125" style="126" customWidth="1"/>
    <col min="4" max="4" width="19.140625" style="126" customWidth="1"/>
    <col min="5" max="5" width="22.5703125" style="120" bestFit="1" customWidth="1"/>
    <col min="6" max="6" width="1.5703125" style="111" customWidth="1"/>
    <col min="7" max="7" width="27" style="111" customWidth="1"/>
    <col min="8" max="8" width="1.5703125" style="111" customWidth="1"/>
    <col min="9" max="9" width="21.42578125" style="111" customWidth="1"/>
    <col min="10" max="10" width="1.5703125" style="111" customWidth="1"/>
    <col min="11" max="11" width="19.42578125" style="111" bestFit="1" customWidth="1"/>
    <col min="12" max="12" width="3.42578125" style="111" customWidth="1"/>
    <col min="13" max="13" width="22.5703125" style="111" customWidth="1"/>
    <col min="14" max="14" width="1.42578125" style="111" customWidth="1"/>
    <col min="15" max="15" width="22.140625" style="215" customWidth="1"/>
    <col min="16" max="16384" width="9.140625" style="111"/>
  </cols>
  <sheetData>
    <row r="1" spans="1:29" ht="15.75">
      <c r="A1" s="898" t="s">
        <v>114</v>
      </c>
    </row>
    <row r="2" spans="1:29" ht="15.75">
      <c r="A2" s="898" t="s">
        <v>114</v>
      </c>
    </row>
    <row r="3" spans="1:29" ht="18.75" customHeight="1">
      <c r="A3" s="1653" t="s">
        <v>387</v>
      </c>
      <c r="B3" s="1653"/>
      <c r="C3" s="1653"/>
      <c r="D3" s="1653"/>
      <c r="E3" s="1653"/>
      <c r="F3" s="1653"/>
      <c r="G3" s="1653"/>
      <c r="H3" s="1653"/>
      <c r="I3" s="1653"/>
      <c r="J3" s="1653"/>
      <c r="K3" s="1653"/>
      <c r="L3" s="1653"/>
      <c r="M3" s="1653"/>
    </row>
    <row r="4" spans="1:29" ht="18.75" customHeight="1">
      <c r="A4" s="1654" t="str">
        <f>"Cost of Service Formula Rate Using Actual/Projected FF1 Balances"</f>
        <v>Cost of Service Formula Rate Using Actual/Projected FF1 Balances</v>
      </c>
      <c r="B4" s="1654"/>
      <c r="C4" s="1654"/>
      <c r="D4" s="1654"/>
      <c r="E4" s="1654"/>
      <c r="F4" s="1654"/>
      <c r="G4" s="1654"/>
      <c r="H4" s="1654"/>
      <c r="I4" s="1654"/>
      <c r="J4" s="1654"/>
      <c r="K4" s="1654"/>
      <c r="L4" s="1654"/>
      <c r="M4" s="1654"/>
    </row>
    <row r="5" spans="1:29" ht="18.75" customHeight="1">
      <c r="A5" s="1654" t="s">
        <v>238</v>
      </c>
      <c r="B5" s="1654"/>
      <c r="C5" s="1654"/>
      <c r="D5" s="1654"/>
      <c r="E5" s="1654"/>
      <c r="F5" s="1654"/>
      <c r="G5" s="1654"/>
      <c r="H5" s="1654"/>
      <c r="I5" s="1654"/>
      <c r="J5" s="1654"/>
      <c r="K5" s="1654"/>
      <c r="L5" s="1654"/>
      <c r="M5" s="1654"/>
    </row>
    <row r="6" spans="1:29" ht="18.75" customHeight="1">
      <c r="A6" s="1661" t="str">
        <f>+TCOS!F9</f>
        <v>Ohio Power Company</v>
      </c>
      <c r="B6" s="1661"/>
      <c r="C6" s="1661"/>
      <c r="D6" s="1661"/>
      <c r="E6" s="1661"/>
      <c r="F6" s="1661"/>
      <c r="G6" s="1661"/>
      <c r="H6" s="1661"/>
      <c r="I6" s="1661"/>
      <c r="J6" s="1661"/>
      <c r="K6" s="1661"/>
      <c r="L6" s="1661"/>
      <c r="M6" s="1661"/>
    </row>
    <row r="7" spans="1:29" ht="18" customHeight="1">
      <c r="A7" s="1665"/>
      <c r="B7" s="1665"/>
      <c r="C7" s="1665"/>
      <c r="D7" s="1665"/>
      <c r="E7" s="1665"/>
      <c r="F7" s="1665"/>
      <c r="G7" s="1665"/>
      <c r="H7" s="1665"/>
      <c r="I7" s="1665"/>
      <c r="J7" s="1665"/>
      <c r="K7" s="1665"/>
      <c r="L7" s="1665"/>
      <c r="M7" s="1665"/>
    </row>
    <row r="8" spans="1:29" ht="18" customHeight="1">
      <c r="A8" s="1694"/>
      <c r="B8" s="1694"/>
      <c r="C8" s="1694"/>
      <c r="D8" s="1694"/>
      <c r="E8" s="1694"/>
      <c r="F8" s="1694"/>
      <c r="G8" s="1694"/>
      <c r="H8" s="1694"/>
      <c r="I8" s="1694"/>
      <c r="J8" s="1694"/>
      <c r="K8" s="1694"/>
      <c r="L8" s="1694"/>
      <c r="M8" s="1694"/>
    </row>
    <row r="9" spans="1:29" ht="18" customHeight="1">
      <c r="A9" s="160"/>
      <c r="B9" s="160"/>
      <c r="C9" s="160"/>
      <c r="D9" s="160"/>
      <c r="E9" s="160"/>
      <c r="F9" s="160"/>
      <c r="G9" s="160"/>
      <c r="H9" s="160"/>
      <c r="I9" s="160"/>
      <c r="J9" s="160"/>
      <c r="K9" s="160"/>
      <c r="L9" s="160"/>
      <c r="M9" s="160"/>
    </row>
    <row r="10" spans="1:29" ht="19.5" customHeight="1">
      <c r="A10" s="113"/>
      <c r="B10" s="114"/>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9"/>
      <c r="L12" s="119"/>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5"/>
      <c r="B14" s="114"/>
      <c r="C14" s="110"/>
      <c r="D14" s="110"/>
      <c r="E14" s="110" t="s">
        <v>68</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323</v>
      </c>
      <c r="D16" s="114"/>
      <c r="E16" s="109"/>
      <c r="F16" s="109"/>
      <c r="G16" s="132"/>
      <c r="H16" s="132"/>
      <c r="I16" s="132"/>
      <c r="J16" s="132"/>
      <c r="K16" s="132"/>
      <c r="L16" s="132"/>
      <c r="M16" s="118"/>
    </row>
    <row r="17" spans="1:15" ht="18">
      <c r="A17" s="113">
        <f>+A16+1</f>
        <v>2</v>
      </c>
      <c r="B17" s="114"/>
      <c r="C17" s="215" t="s">
        <v>307</v>
      </c>
      <c r="D17" s="1317"/>
      <c r="E17" s="1318">
        <f>'WS H-1-Detail of Tax Amts'!E15</f>
        <v>6771988</v>
      </c>
      <c r="F17" s="215"/>
      <c r="G17" s="1319"/>
      <c r="H17" s="1319"/>
      <c r="I17" s="1319"/>
      <c r="J17" s="1319"/>
      <c r="K17" s="1319"/>
      <c r="L17" s="1319"/>
      <c r="M17" s="216">
        <f>+E17</f>
        <v>6771988</v>
      </c>
    </row>
    <row r="18" spans="1:15" ht="18">
      <c r="A18" s="113"/>
      <c r="B18" s="114"/>
      <c r="C18" s="1320"/>
      <c r="D18" s="1317"/>
      <c r="E18" s="1321"/>
      <c r="F18" s="215"/>
      <c r="G18" s="1319"/>
      <c r="H18" s="1319"/>
      <c r="I18" s="1319"/>
      <c r="J18" s="1319"/>
      <c r="K18" s="1319"/>
      <c r="L18" s="1319"/>
      <c r="M18" s="216"/>
    </row>
    <row r="19" spans="1:15" ht="18">
      <c r="A19" s="1092">
        <f>+A17+1</f>
        <v>3</v>
      </c>
      <c r="B19" s="1093"/>
      <c r="C19" s="1322" t="s">
        <v>324</v>
      </c>
      <c r="D19" s="1317"/>
      <c r="E19" s="1321"/>
      <c r="F19" s="215"/>
      <c r="G19" s="1319"/>
      <c r="H19" s="1323"/>
      <c r="I19" s="1323"/>
      <c r="J19" s="1323"/>
      <c r="K19" s="1323"/>
      <c r="L19" s="1323"/>
      <c r="M19" s="1324"/>
    </row>
    <row r="20" spans="1:15" ht="18">
      <c r="A20" s="1092">
        <f>+A19+1</f>
        <v>4</v>
      </c>
      <c r="B20" s="1093"/>
      <c r="C20" s="215" t="s">
        <v>927</v>
      </c>
      <c r="D20" s="215"/>
      <c r="E20" s="1318">
        <f>'WS H-1-Detail of Tax Amts'!E27</f>
        <v>321585154</v>
      </c>
      <c r="F20" s="215"/>
      <c r="G20" s="1319">
        <f>+E20</f>
        <v>321585154</v>
      </c>
      <c r="H20" s="1323"/>
      <c r="I20" s="1323"/>
      <c r="J20" s="1323"/>
      <c r="K20" s="1323"/>
      <c r="L20" s="1323"/>
      <c r="M20" s="1324"/>
      <c r="O20"/>
    </row>
    <row r="21" spans="1:15" ht="18">
      <c r="A21" s="1092">
        <f>+A20+1</f>
        <v>5</v>
      </c>
      <c r="B21" s="1093"/>
      <c r="C21" s="215" t="s">
        <v>1160</v>
      </c>
      <c r="D21" s="215"/>
      <c r="E21" s="1318">
        <f>'WS H-1-Detail of Tax Amts'!E39</f>
        <v>860560</v>
      </c>
      <c r="F21" s="215"/>
      <c r="G21" s="1319">
        <f>+E21</f>
        <v>860560</v>
      </c>
      <c r="H21" s="1323"/>
      <c r="I21" s="1323"/>
      <c r="J21" s="1323"/>
      <c r="K21" s="1323"/>
      <c r="L21" s="1323"/>
      <c r="M21" s="1324"/>
      <c r="O21"/>
    </row>
    <row r="22" spans="1:15" ht="18">
      <c r="A22" s="1092">
        <f>+A21+1</f>
        <v>6</v>
      </c>
      <c r="B22" s="1093"/>
      <c r="C22" s="215" t="s">
        <v>463</v>
      </c>
      <c r="D22" s="1318"/>
      <c r="E22" s="1318">
        <f>'WS H-1-Detail of Tax Amts'!E50</f>
        <v>0</v>
      </c>
      <c r="F22" s="215"/>
      <c r="G22" s="1319">
        <f>+E22</f>
        <v>0</v>
      </c>
      <c r="H22" s="1323"/>
      <c r="I22" s="1323"/>
      <c r="J22" s="1323"/>
      <c r="K22" s="1323"/>
      <c r="L22" s="1323"/>
      <c r="M22" s="1324"/>
      <c r="O22"/>
    </row>
    <row r="23" spans="1:15" ht="18">
      <c r="A23" s="1092">
        <f>+A22+1</f>
        <v>7</v>
      </c>
      <c r="B23" s="1093"/>
      <c r="C23" s="215" t="s">
        <v>1161</v>
      </c>
      <c r="D23" s="1318"/>
      <c r="E23" s="1318">
        <f>'WS H-1-Detail of Tax Amts'!E56</f>
        <v>0</v>
      </c>
      <c r="F23" s="215"/>
      <c r="G23" s="1319">
        <f>E23</f>
        <v>0</v>
      </c>
      <c r="H23" s="1323"/>
      <c r="I23" s="1323"/>
      <c r="J23" s="1323"/>
      <c r="K23" s="1323"/>
      <c r="L23" s="1323"/>
      <c r="M23" s="1324"/>
      <c r="O23"/>
    </row>
    <row r="24" spans="1:15" ht="18">
      <c r="A24" s="113"/>
      <c r="B24" s="114"/>
      <c r="C24" s="1320"/>
      <c r="D24" s="1317"/>
      <c r="E24" s="1321"/>
      <c r="F24" s="215"/>
      <c r="G24" s="1319"/>
      <c r="H24" s="1319"/>
      <c r="I24" s="1319"/>
      <c r="J24" s="1319"/>
      <c r="K24" s="1319"/>
      <c r="L24" s="1319"/>
      <c r="M24" s="216"/>
      <c r="O24" s="216"/>
    </row>
    <row r="25" spans="1:15" ht="18">
      <c r="A25" s="113">
        <f>+A23+1</f>
        <v>8</v>
      </c>
      <c r="B25" s="114"/>
      <c r="C25" s="1322" t="s">
        <v>325</v>
      </c>
      <c r="D25" s="1317"/>
      <c r="E25" s="1321"/>
      <c r="F25" s="215"/>
      <c r="G25" s="1319"/>
      <c r="H25" s="1319"/>
      <c r="I25" s="1319"/>
      <c r="J25" s="1319"/>
      <c r="K25" s="1319"/>
      <c r="L25" s="1319"/>
      <c r="M25" s="216"/>
      <c r="O25" s="216"/>
    </row>
    <row r="26" spans="1:15" ht="18">
      <c r="A26" s="113">
        <f>+A25+1</f>
        <v>9</v>
      </c>
      <c r="B26" s="114"/>
      <c r="C26" s="215" t="s">
        <v>321</v>
      </c>
      <c r="D26" s="1317"/>
      <c r="E26" s="1318">
        <f>'WS H-1-Detail of Tax Amts'!E67</f>
        <v>5830997</v>
      </c>
      <c r="F26" s="215"/>
      <c r="G26" s="1319"/>
      <c r="H26" s="1319"/>
      <c r="I26" s="1319">
        <f>+E26</f>
        <v>5830997</v>
      </c>
      <c r="J26" s="1319"/>
      <c r="K26" s="1319"/>
      <c r="L26" s="1319"/>
      <c r="M26" s="216"/>
      <c r="O26" s="216"/>
    </row>
    <row r="27" spans="1:15" ht="18">
      <c r="A27" s="113">
        <f>+A26+1</f>
        <v>10</v>
      </c>
      <c r="B27" s="114"/>
      <c r="C27" s="215" t="s">
        <v>314</v>
      </c>
      <c r="D27" s="1317"/>
      <c r="E27" s="1318">
        <f>'WS H-1-Detail of Tax Amts'!E69</f>
        <v>39949</v>
      </c>
      <c r="F27" s="215"/>
      <c r="G27" s="215"/>
      <c r="H27" s="215"/>
      <c r="I27" s="216">
        <f>+E27</f>
        <v>39949</v>
      </c>
      <c r="J27" s="215"/>
      <c r="K27" s="215"/>
      <c r="L27" s="215"/>
      <c r="M27" s="216"/>
    </row>
    <row r="28" spans="1:15" ht="18">
      <c r="A28" s="113">
        <f>+A27+1</f>
        <v>11</v>
      </c>
      <c r="B28" s="114"/>
      <c r="C28" s="215" t="s">
        <v>315</v>
      </c>
      <c r="D28" s="1317"/>
      <c r="E28" s="1318">
        <f>'WS H-1-Detail of Tax Amts'!E71</f>
        <v>142306</v>
      </c>
      <c r="F28" s="215"/>
      <c r="G28" s="215"/>
      <c r="H28" s="215"/>
      <c r="I28" s="216">
        <f>+E28</f>
        <v>142306</v>
      </c>
      <c r="J28" s="1325"/>
      <c r="K28" s="215"/>
      <c r="L28" s="215"/>
      <c r="M28" s="216"/>
    </row>
    <row r="29" spans="1:15" ht="18">
      <c r="A29" s="113" t="s">
        <v>114</v>
      </c>
      <c r="B29" s="114"/>
      <c r="C29" s="215"/>
      <c r="D29" s="1317"/>
      <c r="E29" s="1321"/>
      <c r="F29" s="215"/>
      <c r="G29" s="215"/>
      <c r="H29" s="215"/>
      <c r="I29" s="216"/>
      <c r="J29" s="127"/>
      <c r="K29" s="129"/>
      <c r="L29" s="129"/>
      <c r="M29" s="216"/>
    </row>
    <row r="30" spans="1:15" ht="18">
      <c r="A30" s="113">
        <f>A28+1</f>
        <v>12</v>
      </c>
      <c r="B30" s="114"/>
      <c r="C30" s="1322" t="s">
        <v>440</v>
      </c>
      <c r="D30" s="1317"/>
      <c r="E30" s="1321"/>
      <c r="F30" s="215"/>
      <c r="G30" s="215"/>
      <c r="H30" s="215"/>
      <c r="I30" s="216"/>
      <c r="J30" s="127"/>
      <c r="K30" s="129"/>
      <c r="L30" s="129"/>
      <c r="M30" s="216"/>
    </row>
    <row r="31" spans="1:15" ht="18">
      <c r="A31" s="113">
        <f>A30+1</f>
        <v>13</v>
      </c>
      <c r="B31" s="114"/>
      <c r="C31" s="1326" t="s">
        <v>441</v>
      </c>
      <c r="D31" s="1327"/>
      <c r="E31" s="1318">
        <f>'WS H-1-Detail of Tax Amts'!E77</f>
        <v>0</v>
      </c>
      <c r="F31" s="1326"/>
      <c r="G31" s="215"/>
      <c r="H31" s="215"/>
      <c r="I31" s="216"/>
      <c r="J31" s="127"/>
      <c r="K31" s="129"/>
      <c r="L31" s="129"/>
      <c r="M31" s="216">
        <f>E31</f>
        <v>0</v>
      </c>
    </row>
    <row r="32" spans="1:15" ht="18">
      <c r="A32" s="113"/>
      <c r="B32" s="114"/>
      <c r="C32" s="215"/>
      <c r="D32" s="1317"/>
      <c r="E32" s="1321"/>
      <c r="F32" s="215"/>
      <c r="G32" s="215"/>
      <c r="H32" s="215"/>
      <c r="I32" s="216"/>
      <c r="J32" s="127"/>
      <c r="K32" s="129"/>
      <c r="L32" s="129"/>
      <c r="M32" s="216"/>
    </row>
    <row r="33" spans="1:13" ht="18">
      <c r="A33" s="121">
        <f>+A31+1</f>
        <v>14</v>
      </c>
      <c r="B33" s="122"/>
      <c r="C33" s="1322" t="s">
        <v>322</v>
      </c>
      <c r="D33" s="1328"/>
      <c r="E33" s="1321"/>
      <c r="F33" s="215"/>
      <c r="G33" s="216"/>
      <c r="H33" s="216"/>
      <c r="I33" s="216"/>
      <c r="J33" s="216"/>
      <c r="K33" s="216"/>
      <c r="L33" s="216"/>
      <c r="M33" s="216"/>
    </row>
    <row r="34" spans="1:13" ht="18">
      <c r="A34" s="121">
        <f>A33+1</f>
        <v>15</v>
      </c>
      <c r="B34" s="122"/>
      <c r="C34" s="215" t="s">
        <v>439</v>
      </c>
      <c r="D34" s="1329"/>
      <c r="E34" s="1318">
        <f>'WS H-1-Detail of Tax Amts'!E81</f>
        <v>0</v>
      </c>
      <c r="F34" s="1326"/>
      <c r="G34" s="216"/>
      <c r="H34" s="216"/>
      <c r="I34" s="216"/>
      <c r="J34" s="216"/>
      <c r="K34" s="216"/>
      <c r="L34" s="216"/>
      <c r="M34" s="216">
        <f>E34</f>
        <v>0</v>
      </c>
    </row>
    <row r="35" spans="1:13" ht="18">
      <c r="A35" s="113">
        <f>A34+1</f>
        <v>16</v>
      </c>
      <c r="B35" s="114"/>
      <c r="C35" s="215" t="s">
        <v>316</v>
      </c>
      <c r="D35" s="1317"/>
      <c r="E35" s="1330">
        <f>'WS H-1-Detail of Tax Amts'!E85</f>
        <v>0</v>
      </c>
      <c r="F35" s="215"/>
      <c r="G35" s="216"/>
      <c r="H35" s="216"/>
      <c r="I35" s="216"/>
      <c r="J35" s="216"/>
      <c r="K35" s="216">
        <f>+E35</f>
        <v>0</v>
      </c>
      <c r="L35" s="216"/>
      <c r="M35" s="216"/>
    </row>
    <row r="36" spans="1:13" ht="18">
      <c r="A36" s="113">
        <f t="shared" ref="A36:A42" si="0">+A35+1</f>
        <v>17</v>
      </c>
      <c r="B36" s="114"/>
      <c r="C36" s="215" t="s">
        <v>317</v>
      </c>
      <c r="D36" s="2"/>
      <c r="E36" s="1330">
        <f>'WS H-1-Detail of Tax Amts'!E89</f>
        <v>-561</v>
      </c>
      <c r="F36" s="215"/>
      <c r="G36" s="1330"/>
      <c r="H36" s="1330"/>
      <c r="I36" s="1330"/>
      <c r="J36" s="1330"/>
      <c r="K36" s="216">
        <f>+E36</f>
        <v>-561</v>
      </c>
      <c r="L36" s="1330"/>
      <c r="M36" s="216"/>
    </row>
    <row r="37" spans="1:13" ht="18">
      <c r="A37" s="113">
        <f>+A36+1</f>
        <v>18</v>
      </c>
      <c r="B37" s="114"/>
      <c r="C37" s="215" t="s">
        <v>318</v>
      </c>
      <c r="D37" s="2"/>
      <c r="E37" s="1330">
        <f>'WS H-1-Detail of Tax Amts'!E99</f>
        <v>0</v>
      </c>
      <c r="F37" s="215"/>
      <c r="G37" s="216"/>
      <c r="H37" s="216"/>
      <c r="I37" s="216"/>
      <c r="J37" s="216"/>
      <c r="K37" s="216">
        <f>+E37</f>
        <v>0</v>
      </c>
      <c r="L37" s="216"/>
      <c r="M37" s="216"/>
    </row>
    <row r="38" spans="1:13" ht="18">
      <c r="A38" s="113">
        <f t="shared" si="0"/>
        <v>19</v>
      </c>
      <c r="B38" s="114"/>
      <c r="C38" s="215" t="s">
        <v>319</v>
      </c>
      <c r="D38" s="1317"/>
      <c r="E38" s="1330">
        <f>'WS H-1-Detail of Tax Amts'!E106</f>
        <v>0</v>
      </c>
      <c r="F38" s="215"/>
      <c r="G38" s="216"/>
      <c r="H38" s="216"/>
      <c r="I38" s="216"/>
      <c r="J38" s="216"/>
      <c r="K38" s="216">
        <f>+E38</f>
        <v>0</v>
      </c>
      <c r="L38" s="216"/>
      <c r="M38" s="216"/>
    </row>
    <row r="39" spans="1:13" ht="18">
      <c r="A39" s="113">
        <f t="shared" si="0"/>
        <v>20</v>
      </c>
      <c r="B39" s="114"/>
      <c r="C39" s="215" t="s">
        <v>320</v>
      </c>
      <c r="D39" s="1317"/>
      <c r="E39" s="1330">
        <f>'WS H-1-Detail of Tax Amts'!E109</f>
        <v>-859</v>
      </c>
      <c r="F39" s="1326"/>
      <c r="G39" s="216"/>
      <c r="H39" s="216"/>
      <c r="I39" s="216"/>
      <c r="J39" s="216"/>
      <c r="K39" s="216"/>
      <c r="L39" s="216"/>
      <c r="M39" s="216">
        <f>+E39</f>
        <v>-859</v>
      </c>
    </row>
    <row r="40" spans="1:13" ht="19.5">
      <c r="A40" s="113">
        <f t="shared" si="0"/>
        <v>21</v>
      </c>
      <c r="B40" s="109"/>
      <c r="C40" s="215" t="s">
        <v>308</v>
      </c>
      <c r="D40" s="215"/>
      <c r="E40" s="1330">
        <f>'WS H-1-Detail of Tax Amts'!E113</f>
        <v>145213370</v>
      </c>
      <c r="F40" s="215"/>
      <c r="G40" s="216"/>
      <c r="H40" s="216"/>
      <c r="I40" s="216"/>
      <c r="J40" s="216"/>
      <c r="K40" s="216"/>
      <c r="L40" s="216"/>
      <c r="M40" s="216">
        <f>+E40</f>
        <v>145213370</v>
      </c>
    </row>
    <row r="41" spans="1:13" ht="19.5">
      <c r="A41" s="113">
        <f t="shared" si="0"/>
        <v>22</v>
      </c>
      <c r="B41" s="109"/>
      <c r="C41" s="2" t="s">
        <v>1254</v>
      </c>
      <c r="D41" s="1326"/>
      <c r="E41" s="1330">
        <f>'WS H-1-Detail of Tax Amts'!E116</f>
        <v>0</v>
      </c>
      <c r="F41" s="1326"/>
      <c r="G41" s="216"/>
      <c r="H41" s="216"/>
      <c r="I41" s="216"/>
      <c r="J41" s="216"/>
      <c r="K41" s="216"/>
      <c r="L41" s="216"/>
      <c r="M41" s="216">
        <f>+E41</f>
        <v>0</v>
      </c>
    </row>
    <row r="42" spans="1:13" ht="19.5">
      <c r="A42" s="113">
        <f t="shared" si="0"/>
        <v>23</v>
      </c>
      <c r="B42" s="109"/>
      <c r="C42" s="2"/>
      <c r="D42" s="1326"/>
      <c r="E42" s="1330"/>
      <c r="F42" s="1326"/>
      <c r="G42" s="216"/>
      <c r="H42" s="216"/>
      <c r="I42" s="216"/>
      <c r="J42" s="216"/>
      <c r="K42" s="216"/>
      <c r="L42" s="216"/>
      <c r="M42" s="216"/>
    </row>
    <row r="43" spans="1:13" ht="18.75" thickBot="1">
      <c r="A43" s="113">
        <f>A42+1</f>
        <v>24</v>
      </c>
      <c r="B43" s="227"/>
      <c r="C43" s="215" t="s">
        <v>311</v>
      </c>
      <c r="D43" s="2"/>
      <c r="E43" s="1331">
        <f>SUM(E17:E41)</f>
        <v>480442904</v>
      </c>
      <c r="F43" s="215"/>
      <c r="G43" s="1331">
        <f>SUM(G17:G41)</f>
        <v>322445714</v>
      </c>
      <c r="H43" s="128"/>
      <c r="I43" s="1331">
        <f>SUM(I17:I41)</f>
        <v>6013252</v>
      </c>
      <c r="J43" s="128"/>
      <c r="K43" s="1331">
        <f>SUM(K17:K41)</f>
        <v>-561</v>
      </c>
      <c r="L43" s="129"/>
      <c r="M43" s="1331">
        <f>SUM(M17:M41)</f>
        <v>151984499</v>
      </c>
    </row>
    <row r="44" spans="1:13" ht="15.75" thickTop="1">
      <c r="A44" s="6"/>
      <c r="B44" s="227"/>
      <c r="C44" s="215" t="s">
        <v>381</v>
      </c>
      <c r="D44" s="2"/>
      <c r="E44" s="2"/>
      <c r="F44" s="215"/>
      <c r="G44" s="128"/>
      <c r="H44" s="128"/>
      <c r="I44" s="128"/>
      <c r="J44" s="128"/>
      <c r="K44" s="129"/>
      <c r="L44" s="129"/>
      <c r="M44" s="129"/>
    </row>
    <row r="45" spans="1:13">
      <c r="A45" s="6"/>
      <c r="B45" s="227"/>
      <c r="C45" s="1326" t="s">
        <v>79</v>
      </c>
      <c r="D45" s="2"/>
      <c r="E45" s="2"/>
      <c r="F45" s="215"/>
      <c r="G45" s="128"/>
      <c r="H45" s="128"/>
      <c r="I45" s="128"/>
      <c r="J45" s="128"/>
      <c r="K45" s="129"/>
      <c r="L45" s="129"/>
      <c r="M45" s="129"/>
    </row>
    <row r="46" spans="1:13" ht="15.75">
      <c r="A46" s="6"/>
      <c r="B46" s="227"/>
      <c r="C46" s="1696" t="s">
        <v>462</v>
      </c>
      <c r="D46" s="1696"/>
      <c r="E46" s="1696"/>
      <c r="F46" s="1696"/>
      <c r="G46" s="1696"/>
      <c r="H46" s="1696"/>
      <c r="I46" s="1696"/>
      <c r="J46" s="1696"/>
      <c r="K46" s="1696"/>
      <c r="L46" s="1696"/>
      <c r="M46" s="1696"/>
    </row>
    <row r="47" spans="1:13" ht="18">
      <c r="A47" s="113"/>
      <c r="C47" s="1332"/>
      <c r="D47" s="1332"/>
      <c r="E47" s="1333" t="s">
        <v>229</v>
      </c>
      <c r="F47" s="1332"/>
      <c r="G47" s="1333" t="s">
        <v>333</v>
      </c>
      <c r="H47" s="1333"/>
      <c r="I47" s="1333" t="s">
        <v>438</v>
      </c>
      <c r="J47" s="1333"/>
      <c r="K47" s="1333" t="s">
        <v>334</v>
      </c>
      <c r="L47" s="1334"/>
      <c r="M47" s="1334" t="s">
        <v>118</v>
      </c>
    </row>
    <row r="48" spans="1:13" ht="18">
      <c r="A48" s="155">
        <f>+A43+1</f>
        <v>25</v>
      </c>
      <c r="B48" s="156"/>
      <c r="C48" s="1335" t="str">
        <f>"Functionalized Net Plant (TCOS, Lns "&amp;TCOS!B90&amp;" thru "&amp;TCOS!B95&amp;")"</f>
        <v>Functionalized Net Plant (TCOS, Lns 41 thru 46)</v>
      </c>
      <c r="D48" s="1332"/>
      <c r="E48" s="1336">
        <v>0</v>
      </c>
      <c r="F48" s="1335"/>
      <c r="G48" s="1336">
        <f>+TCOS!G91</f>
        <v>2011344754.7430768</v>
      </c>
      <c r="H48" s="1335"/>
      <c r="I48" s="1336">
        <f>+TCOS!G92</f>
        <v>4140574560.9292307</v>
      </c>
      <c r="J48" s="1335"/>
      <c r="K48" s="1337">
        <f>+TCOS!G93</f>
        <v>571892334.56923068</v>
      </c>
      <c r="L48" s="1326"/>
      <c r="M48" s="1338">
        <f>SUM(E48:K48)</f>
        <v>6723811650.241539</v>
      </c>
    </row>
    <row r="49" spans="1:21" ht="18">
      <c r="A49" s="155"/>
      <c r="B49" s="156"/>
      <c r="C49" s="1339" t="s">
        <v>925</v>
      </c>
      <c r="D49" s="1332"/>
      <c r="E49" s="1340"/>
      <c r="F49" s="1332"/>
      <c r="G49" s="1341"/>
      <c r="H49" s="1332"/>
      <c r="I49" s="1340"/>
      <c r="J49" s="1332"/>
      <c r="K49" s="1342"/>
      <c r="L49" s="1326"/>
      <c r="M49" s="1343"/>
    </row>
    <row r="50" spans="1:21" ht="18">
      <c r="A50" s="155">
        <f>+A48+1</f>
        <v>26</v>
      </c>
      <c r="B50" s="156"/>
      <c r="C50" s="1332" t="str">
        <f>"Percentage of Plant in "&amp;C49&amp;""</f>
        <v>Percentage of Plant in OHIO JURISDICTION</v>
      </c>
      <c r="D50" s="1332"/>
      <c r="E50" s="1344">
        <v>0</v>
      </c>
      <c r="F50" s="1341"/>
      <c r="G50" s="1344">
        <v>0.96333707779692801</v>
      </c>
      <c r="H50" s="1341"/>
      <c r="I50" s="1344">
        <v>0.99996689640775505</v>
      </c>
      <c r="J50" s="1341"/>
      <c r="K50" s="1344">
        <v>0.99241991011788799</v>
      </c>
      <c r="L50" s="1326"/>
      <c r="M50" s="1343"/>
    </row>
    <row r="51" spans="1:21" ht="18">
      <c r="A51" s="155">
        <f t="shared" ref="A51:A57" si="1">+A50+1</f>
        <v>27</v>
      </c>
      <c r="B51" s="156"/>
      <c r="C51" s="1335" t="str">
        <f>"Net Plant in "&amp;C49&amp;" (Ln "&amp;A48&amp;" * Ln "&amp;A50&amp;")"</f>
        <v>Net Plant in OHIO JURISDICTION (Ln 25 * Ln 26)</v>
      </c>
      <c r="D51" s="1332"/>
      <c r="E51" s="1340">
        <f>+E48*E50</f>
        <v>0</v>
      </c>
      <c r="F51" s="1332"/>
      <c r="G51" s="1340">
        <f>+G48*G50</f>
        <v>1937602978.4763744</v>
      </c>
      <c r="H51" s="1332"/>
      <c r="I51" s="1340">
        <f>+I48*I50</f>
        <v>4140437493.0373058</v>
      </c>
      <c r="J51" s="1332"/>
      <c r="K51" s="1340">
        <f>+K48*K50</f>
        <v>567557339.27030504</v>
      </c>
      <c r="L51" s="1326"/>
      <c r="M51" s="1338">
        <f>SUM(E51:K51)</f>
        <v>6645597810.7839851</v>
      </c>
      <c r="O51"/>
    </row>
    <row r="52" spans="1:21" ht="18">
      <c r="A52" s="155">
        <f t="shared" si="1"/>
        <v>28</v>
      </c>
      <c r="B52" s="156"/>
      <c r="C52" s="1335" t="s">
        <v>225</v>
      </c>
      <c r="D52" s="1332"/>
      <c r="E52" s="1345">
        <v>0</v>
      </c>
      <c r="F52" s="1354"/>
      <c r="G52" s="1355"/>
      <c r="H52" s="1354"/>
      <c r="I52" s="1355"/>
      <c r="J52" s="1354"/>
      <c r="K52" s="1355"/>
      <c r="L52" s="1326"/>
      <c r="M52" s="1338"/>
      <c r="O52"/>
    </row>
    <row r="53" spans="1:21" ht="18">
      <c r="A53" s="155">
        <f t="shared" si="1"/>
        <v>29</v>
      </c>
      <c r="B53" s="156"/>
      <c r="C53" s="1332" t="str">
        <f>"Taxable Property Basis (Ln "&amp;A51&amp;" - Ln "&amp;A52&amp;")"</f>
        <v>Taxable Property Basis (Ln 27 - Ln 28)</v>
      </c>
      <c r="D53" s="1332"/>
      <c r="E53" s="1340">
        <f>+E51-E52</f>
        <v>0</v>
      </c>
      <c r="F53" s="1332"/>
      <c r="G53" s="1340">
        <f>+G51-G52</f>
        <v>1937602978.4763744</v>
      </c>
      <c r="H53" s="1332"/>
      <c r="I53" s="1340">
        <f>+I51-I52</f>
        <v>4140437493.0373058</v>
      </c>
      <c r="J53" s="1332"/>
      <c r="K53" s="1340">
        <f>+K51-K52</f>
        <v>567557339.27030504</v>
      </c>
      <c r="L53" s="1326"/>
      <c r="M53" s="1338">
        <f>SUM(E53:K53)</f>
        <v>6645597810.7839851</v>
      </c>
      <c r="O53"/>
    </row>
    <row r="54" spans="1:21" ht="18">
      <c r="A54" s="155">
        <f t="shared" si="1"/>
        <v>30</v>
      </c>
      <c r="B54" s="156"/>
      <c r="C54" s="1346" t="s">
        <v>461</v>
      </c>
      <c r="D54" s="1332"/>
      <c r="E54" s="1562">
        <v>0.24</v>
      </c>
      <c r="F54" s="1563"/>
      <c r="G54" s="1562">
        <v>0.85</v>
      </c>
      <c r="H54" s="1563"/>
      <c r="I54" s="1562">
        <v>0.85</v>
      </c>
      <c r="J54" s="1563"/>
      <c r="K54" s="1562">
        <v>0.24</v>
      </c>
      <c r="L54" s="1326"/>
      <c r="M54" s="1349">
        <f>SUM(E54:K54)</f>
        <v>2.1799999999999997</v>
      </c>
      <c r="O54"/>
    </row>
    <row r="55" spans="1:21" ht="18">
      <c r="A55" s="155">
        <f t="shared" si="1"/>
        <v>31</v>
      </c>
      <c r="B55" s="156"/>
      <c r="C55" s="1335" t="str">
        <f>"Weighted Net Plant (Ln "&amp;A53&amp;" * Ln "&amp;A54&amp;")"</f>
        <v>Weighted Net Plant (Ln 29 * Ln 30)</v>
      </c>
      <c r="D55" s="1332"/>
      <c r="E55" s="1340">
        <f>+E53*E54</f>
        <v>0</v>
      </c>
      <c r="F55" s="1332"/>
      <c r="G55" s="1340">
        <f>+G53*G54</f>
        <v>1646962531.7049181</v>
      </c>
      <c r="H55" s="1332"/>
      <c r="I55" s="1340">
        <f>+I53*I54</f>
        <v>3519371869.0817099</v>
      </c>
      <c r="J55" s="1332"/>
      <c r="K55" s="1340">
        <f>+K53*K54</f>
        <v>136213761.4248732</v>
      </c>
      <c r="L55" s="1326"/>
      <c r="M55" s="1338"/>
      <c r="O55"/>
      <c r="P55"/>
      <c r="Q55"/>
      <c r="R55"/>
      <c r="S55"/>
      <c r="T55"/>
      <c r="U55"/>
    </row>
    <row r="56" spans="1:21" ht="18">
      <c r="A56" s="155">
        <f t="shared" si="1"/>
        <v>32</v>
      </c>
      <c r="B56" s="156"/>
      <c r="C56" s="1332" t="str">
        <f>+"General Plant Allocator (Ln "&amp;A55&amp;" / (Total - General Plant))"</f>
        <v>General Plant Allocator (Ln 31 / (Total - General Plant))</v>
      </c>
      <c r="D56" s="1332"/>
      <c r="E56" s="1350">
        <f>IF(E54=0,0,+E55/($E55+$G55+$I55))</f>
        <v>0</v>
      </c>
      <c r="F56" s="1332"/>
      <c r="G56" s="1350">
        <f>IF(G54=0,0,+G55/($E55+$G55+$I55))</f>
        <v>0.31878744268937587</v>
      </c>
      <c r="H56" s="1332"/>
      <c r="I56" s="1350">
        <f>IF(I54=0,0,+I55/($E55+$G55+$I55))</f>
        <v>0.68121255731062413</v>
      </c>
      <c r="J56" s="1332"/>
      <c r="K56" s="1350">
        <v>-1</v>
      </c>
      <c r="L56" s="1326"/>
      <c r="M56" s="1326"/>
      <c r="O56"/>
      <c r="P56"/>
      <c r="Q56"/>
      <c r="R56"/>
      <c r="S56"/>
      <c r="T56"/>
      <c r="U56"/>
    </row>
    <row r="57" spans="1:21" ht="18">
      <c r="A57" s="155">
        <f t="shared" si="1"/>
        <v>33</v>
      </c>
      <c r="B57" s="156"/>
      <c r="C57" s="1332" t="str">
        <f>"Functionalized General Plant (Ln "&amp;A56&amp;" * General Plant)"</f>
        <v>Functionalized General Plant (Ln 32 * General Plant)</v>
      </c>
      <c r="D57" s="1332"/>
      <c r="E57" s="1351">
        <f>ROUND($K55*E56,0)</f>
        <v>0</v>
      </c>
      <c r="F57" s="1332"/>
      <c r="G57" s="1351">
        <f>+G56*K55</f>
        <v>43423236.663736083</v>
      </c>
      <c r="H57" s="1332"/>
      <c r="I57" s="1351">
        <f>ROUND($K55*I56,0)</f>
        <v>92790525</v>
      </c>
      <c r="J57" s="1332"/>
      <c r="K57" s="1351">
        <f>ROUND($K55*K56,0)</f>
        <v>-136213761</v>
      </c>
      <c r="L57" s="1326"/>
      <c r="M57" s="1338">
        <f>IF(SUM(E57:K57)&lt;&gt;0,0,0)</f>
        <v>0</v>
      </c>
      <c r="O57"/>
      <c r="P57"/>
      <c r="Q57"/>
      <c r="R57"/>
      <c r="S57"/>
      <c r="T57"/>
      <c r="U57"/>
    </row>
    <row r="58" spans="1:21" ht="18">
      <c r="A58" s="155">
        <f>+A57+1</f>
        <v>34</v>
      </c>
      <c r="B58" s="156"/>
      <c r="C58" s="1332" t="str">
        <f>"Weighted "&amp;C49&amp;" Plant (Ln "&amp;A55&amp;" + "&amp;A57&amp;")"</f>
        <v>Weighted OHIO JURISDICTION Plant (Ln 31 + 33)</v>
      </c>
      <c r="D58" s="1332"/>
      <c r="E58" s="1340">
        <f>+E55+E57</f>
        <v>0</v>
      </c>
      <c r="F58" s="1332"/>
      <c r="G58" s="1342">
        <f>+G55+G57</f>
        <v>1690385768.3686543</v>
      </c>
      <c r="H58" s="1332"/>
      <c r="I58" s="1340">
        <f>+I55+I57</f>
        <v>3612162394.0817099</v>
      </c>
      <c r="J58" s="1332"/>
      <c r="K58" s="1340">
        <f>+K55+K57</f>
        <v>0.42487320303916931</v>
      </c>
      <c r="L58" s="1326"/>
      <c r="M58" s="1338">
        <f>SUM(E58:K58)-SUM(E57:K57)</f>
        <v>5302548162.2115011</v>
      </c>
      <c r="O58"/>
    </row>
    <row r="59" spans="1:21" ht="18">
      <c r="A59" s="155">
        <f>+A58+1</f>
        <v>35</v>
      </c>
      <c r="B59" s="156"/>
      <c r="C59" s="1332" t="str">
        <f>"Functional Percentage (Ln "&amp;A58&amp;"/Total Ln "&amp;A58&amp;")"</f>
        <v>Functional Percentage (Ln 34/Total Ln 34)</v>
      </c>
      <c r="D59" s="1332"/>
      <c r="E59" s="1341">
        <f>+E58/M58</f>
        <v>0</v>
      </c>
      <c r="F59" s="1332"/>
      <c r="G59" s="1352">
        <f>+G58/M58</f>
        <v>0.31878744268937587</v>
      </c>
      <c r="H59" s="1332"/>
      <c r="I59" s="1341">
        <f>+I58/M58</f>
        <v>0.68121255735567099</v>
      </c>
      <c r="J59" s="1332"/>
      <c r="K59" s="1353"/>
      <c r="L59" s="1326"/>
      <c r="M59" s="1338"/>
      <c r="O59"/>
    </row>
    <row r="60" spans="1:21" ht="18">
      <c r="A60" s="155"/>
      <c r="B60" s="156"/>
      <c r="C60" s="1339" t="s">
        <v>926</v>
      </c>
      <c r="D60" s="1332"/>
      <c r="E60" s="1340"/>
      <c r="F60" s="1332"/>
      <c r="G60" s="1340"/>
      <c r="H60" s="1332"/>
      <c r="I60" s="1340"/>
      <c r="J60" s="1332"/>
      <c r="K60" s="1342"/>
      <c r="L60" s="1326"/>
      <c r="M60" s="1338"/>
      <c r="O60"/>
    </row>
    <row r="61" spans="1:21" ht="18">
      <c r="A61" s="155">
        <f>+A59+1</f>
        <v>36</v>
      </c>
      <c r="B61" s="156"/>
      <c r="C61" s="1335" t="str">
        <f>"Net Plant in "&amp;C60&amp;" (Ln "&amp;A48&amp;" - Ln "&amp;A51&amp;")"</f>
        <v>Net Plant in WEST VA JURISDICTION (Ln 25 - Ln 27)</v>
      </c>
      <c r="D61" s="1353"/>
      <c r="E61" s="1340">
        <f>+E48-E51</f>
        <v>0</v>
      </c>
      <c r="F61" s="1332"/>
      <c r="G61" s="1340">
        <f>+G48-G51</f>
        <v>73741776.266702414</v>
      </c>
      <c r="H61" s="1332"/>
      <c r="I61" s="1340">
        <f>+I48-I51</f>
        <v>137067.89192485809</v>
      </c>
      <c r="J61" s="1332"/>
      <c r="K61" s="1340">
        <f>+K48-K51</f>
        <v>4334995.2989256382</v>
      </c>
      <c r="L61" s="1326"/>
      <c r="M61" s="1338">
        <f>SUM(E61:K61)</f>
        <v>78213839.45755291</v>
      </c>
      <c r="O61"/>
    </row>
    <row r="62" spans="1:21" ht="18">
      <c r="A62" s="155">
        <f t="shared" ref="A62:A69" si="2">+A61+1</f>
        <v>37</v>
      </c>
      <c r="B62" s="156"/>
      <c r="C62" s="1335" t="s">
        <v>225</v>
      </c>
      <c r="D62" s="1353"/>
      <c r="E62" s="1345">
        <v>0</v>
      </c>
      <c r="F62" s="1354"/>
      <c r="G62" s="1355"/>
      <c r="H62" s="1354"/>
      <c r="I62" s="1355"/>
      <c r="J62" s="1354"/>
      <c r="K62" s="1355"/>
      <c r="L62" s="1326"/>
      <c r="M62" s="1338"/>
      <c r="O62"/>
    </row>
    <row r="63" spans="1:21" ht="18">
      <c r="A63" s="155">
        <f t="shared" si="2"/>
        <v>38</v>
      </c>
      <c r="B63" s="156"/>
      <c r="C63" s="1332" t="str">
        <f>"Taxable Property Basis (Ln "&amp;A61&amp;" - Ln "&amp;A62&amp;")"</f>
        <v>Taxable Property Basis (Ln 36 - Ln 37)</v>
      </c>
      <c r="D63" s="1353"/>
      <c r="E63" s="1340">
        <f>+E61-E62</f>
        <v>0</v>
      </c>
      <c r="F63" s="1332"/>
      <c r="G63" s="1340">
        <f>+G61-G62</f>
        <v>73741776.266702414</v>
      </c>
      <c r="H63" s="1332"/>
      <c r="I63" s="1340">
        <f>+I61-I62</f>
        <v>137067.89192485809</v>
      </c>
      <c r="J63" s="1332"/>
      <c r="K63" s="1340">
        <f>+K61-K62</f>
        <v>4334995.2989256382</v>
      </c>
      <c r="L63" s="1326"/>
      <c r="M63" s="1338">
        <f>SUM(E63:K63)</f>
        <v>78213839.45755291</v>
      </c>
      <c r="O63"/>
    </row>
    <row r="64" spans="1:21" ht="18">
      <c r="A64" s="155">
        <f t="shared" si="2"/>
        <v>39</v>
      </c>
      <c r="B64" s="156"/>
      <c r="C64" s="1346" t="s">
        <v>461</v>
      </c>
      <c r="D64" s="1353"/>
      <c r="E64" s="1347">
        <v>1</v>
      </c>
      <c r="F64" s="1348"/>
      <c r="G64" s="1347">
        <v>1</v>
      </c>
      <c r="H64" s="1348"/>
      <c r="I64" s="1347">
        <v>1</v>
      </c>
      <c r="J64" s="1348"/>
      <c r="K64" s="1347">
        <v>1</v>
      </c>
      <c r="L64" s="1326"/>
      <c r="M64" s="1349">
        <f>SUM(E64:K64)</f>
        <v>4</v>
      </c>
      <c r="O64"/>
    </row>
    <row r="65" spans="1:15" ht="18">
      <c r="A65" s="155">
        <f t="shared" si="2"/>
        <v>40</v>
      </c>
      <c r="B65" s="156"/>
      <c r="C65" s="1335" t="str">
        <f>"Weighted Net Plant (Ln "&amp;A63&amp;" * Ln "&amp;A64&amp;")"</f>
        <v>Weighted Net Plant (Ln 38 * Ln 39)</v>
      </c>
      <c r="D65" s="1353"/>
      <c r="E65" s="1340">
        <f>+E63*E64</f>
        <v>0</v>
      </c>
      <c r="F65" s="1332"/>
      <c r="G65" s="1340">
        <f>+G63*G64</f>
        <v>73741776.266702414</v>
      </c>
      <c r="H65" s="1332"/>
      <c r="I65" s="1340">
        <f>+I63*I64</f>
        <v>137067.89192485809</v>
      </c>
      <c r="J65" s="1332"/>
      <c r="K65" s="1340">
        <f>+K63*K64</f>
        <v>4334995.2989256382</v>
      </c>
      <c r="L65" s="1326"/>
      <c r="M65" s="1338"/>
      <c r="O65"/>
    </row>
    <row r="66" spans="1:15" ht="18">
      <c r="A66" s="155">
        <f t="shared" si="2"/>
        <v>41</v>
      </c>
      <c r="B66" s="156"/>
      <c r="C66" s="1332" t="str">
        <f>+"General Plant Allocator (Ln "&amp;A65&amp;" / (Total - General Plant))"</f>
        <v>General Plant Allocator (Ln 40 / (Total - General Plant))</v>
      </c>
      <c r="D66" s="1332"/>
      <c r="E66" s="1350">
        <f>IF(E64=0,0,+E65/($E65+$G65+$I65))</f>
        <v>0</v>
      </c>
      <c r="F66" s="1332"/>
      <c r="G66" s="1350">
        <f>IF(G64=0,0,+G65/($E65+$G65+$I65))</f>
        <v>0.99814469360632452</v>
      </c>
      <c r="H66" s="1332"/>
      <c r="I66" s="1350">
        <f>IF(I64=0,0,+I65/($E65+$G65+$I65))</f>
        <v>1.8553063936755142E-3</v>
      </c>
      <c r="J66" s="1332"/>
      <c r="K66" s="1350">
        <v>-1</v>
      </c>
      <c r="L66" s="1326"/>
      <c r="M66" s="1326"/>
      <c r="O66"/>
    </row>
    <row r="67" spans="1:15" ht="18">
      <c r="A67" s="155">
        <f t="shared" si="2"/>
        <v>42</v>
      </c>
      <c r="B67" s="156"/>
      <c r="C67" s="1332" t="str">
        <f>"Functionalized General Plant (Ln "&amp;A66&amp;" * General Plant)"</f>
        <v>Functionalized General Plant (Ln 41 * General Plant)</v>
      </c>
      <c r="D67" s="1332"/>
      <c r="E67" s="1351">
        <f>ROUND($K65*E66,0)</f>
        <v>0</v>
      </c>
      <c r="F67" s="1332"/>
      <c r="G67" s="1351">
        <f>+G66*K65</f>
        <v>4326952.5544309886</v>
      </c>
      <c r="H67" s="1332"/>
      <c r="I67" s="1351">
        <f>ROUND($K65*I66,0)</f>
        <v>8043</v>
      </c>
      <c r="J67" s="1332"/>
      <c r="K67" s="1351">
        <f>ROUND($K65*K66,0)</f>
        <v>-4334995</v>
      </c>
      <c r="L67" s="1326"/>
      <c r="M67" s="1338">
        <f>IF(SUM(E67:K67)&lt;&gt;0,0,0)</f>
        <v>0</v>
      </c>
      <c r="O67"/>
    </row>
    <row r="68" spans="1:15" ht="18">
      <c r="A68" s="155">
        <f t="shared" si="2"/>
        <v>43</v>
      </c>
      <c r="B68" s="156"/>
      <c r="C68" s="1332" t="str">
        <f>"Weighted "&amp;C60&amp;" Plant (Ln "&amp;A65&amp;" + "&amp;A67&amp;")"</f>
        <v>Weighted WEST VA JURISDICTION Plant (Ln 40 + 42)</v>
      </c>
      <c r="D68" s="1332"/>
      <c r="E68" s="1340">
        <f>+E65+E67</f>
        <v>0</v>
      </c>
      <c r="F68" s="1332"/>
      <c r="G68" s="1342">
        <f>+G65+G67</f>
        <v>78068728.821133405</v>
      </c>
      <c r="H68" s="1332"/>
      <c r="I68" s="1340">
        <f>+I65+I67</f>
        <v>145110.89192485809</v>
      </c>
      <c r="J68" s="1332"/>
      <c r="K68" s="1340">
        <f>+K65+K67</f>
        <v>0.29892563819885254</v>
      </c>
      <c r="L68" s="1326"/>
      <c r="M68" s="1338">
        <f>SUM(E68:K68)-SUM(E67:K67)</f>
        <v>78213839.45755291</v>
      </c>
      <c r="O68"/>
    </row>
    <row r="69" spans="1:15" ht="18">
      <c r="A69" s="155">
        <f t="shared" si="2"/>
        <v>44</v>
      </c>
      <c r="B69" s="156"/>
      <c r="C69" s="1332" t="str">
        <f>"Functional Percentage (Ln "&amp;A68&amp;"/Total Ln "&amp;A68&amp;")"</f>
        <v>Functional Percentage (Ln 43/Total Ln 43)</v>
      </c>
      <c r="D69" s="1332"/>
      <c r="E69" s="1341">
        <f>+E68/M68</f>
        <v>0</v>
      </c>
      <c r="F69" s="1332"/>
      <c r="G69" s="1352">
        <f>+G68/M68</f>
        <v>0.99814469360632452</v>
      </c>
      <c r="H69" s="1332"/>
      <c r="I69" s="1341">
        <f>+I68/M68</f>
        <v>1.8553096604292209E-3</v>
      </c>
      <c r="J69" s="1332"/>
      <c r="K69" s="1353"/>
      <c r="L69" s="1326"/>
      <c r="M69" s="1338"/>
      <c r="O69"/>
    </row>
    <row r="70" spans="1:15" ht="19.5">
      <c r="A70" s="155"/>
      <c r="B70" s="156"/>
      <c r="C70" s="124"/>
      <c r="D70" s="124"/>
      <c r="E70" s="212"/>
      <c r="F70" s="124"/>
      <c r="G70" s="212"/>
      <c r="H70" s="124"/>
      <c r="I70" s="212"/>
      <c r="J70" s="124"/>
      <c r="K70"/>
      <c r="L70" s="124"/>
      <c r="M70" s="157"/>
      <c r="O70"/>
    </row>
    <row r="71" spans="1:15" ht="18">
      <c r="A71" s="155"/>
      <c r="B71" s="156"/>
      <c r="C71" s="257"/>
      <c r="D71" s="257"/>
      <c r="E71" s="1356"/>
      <c r="F71" s="1357"/>
      <c r="G71" s="1358"/>
      <c r="H71" s="1357"/>
      <c r="I71" s="1356"/>
      <c r="J71" s="1357"/>
      <c r="K71" s="1356"/>
      <c r="L71" s="257"/>
      <c r="M71" s="1359"/>
      <c r="O71"/>
    </row>
  </sheetData>
  <mergeCells count="7">
    <mergeCell ref="A8:M8"/>
    <mergeCell ref="A7:M7"/>
    <mergeCell ref="C46:M46"/>
    <mergeCell ref="A3:M3"/>
    <mergeCell ref="A4:M4"/>
    <mergeCell ref="A5:M5"/>
    <mergeCell ref="A6:M6"/>
  </mergeCells>
  <phoneticPr fontId="74"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30"/>
  <sheetViews>
    <sheetView view="pageBreakPreview" topLeftCell="A19" zoomScale="70" zoomScaleNormal="70" zoomScaleSheetLayoutView="70" workbookViewId="0">
      <selection activeCell="E120" sqref="E120"/>
    </sheetView>
  </sheetViews>
  <sheetFormatPr defaultColWidth="9.140625" defaultRowHeight="12.75"/>
  <cols>
    <col min="1" max="1" width="7.42578125" style="125" customWidth="1"/>
    <col min="2" max="2" width="1.5703125" style="126" customWidth="1"/>
    <col min="3" max="3" width="68.5703125" style="126" customWidth="1"/>
    <col min="4" max="4" width="19.140625" style="126" customWidth="1"/>
    <col min="5" max="5" width="20.42578125" style="120" customWidth="1"/>
    <col min="6" max="6" width="20.42578125" style="111" bestFit="1" customWidth="1"/>
    <col min="7" max="7" width="40.42578125" style="111" bestFit="1" customWidth="1"/>
    <col min="8" max="8" width="13" style="111" bestFit="1" customWidth="1"/>
    <col min="9" max="9" width="34" style="111" customWidth="1"/>
    <col min="10" max="16384" width="9.140625" style="111"/>
  </cols>
  <sheetData>
    <row r="1" spans="1:20" ht="15.75">
      <c r="A1" s="898" t="s">
        <v>114</v>
      </c>
    </row>
    <row r="2" spans="1:20" ht="15.75">
      <c r="A2" s="898" t="s">
        <v>114</v>
      </c>
    </row>
    <row r="3" spans="1:20" ht="18.75" customHeight="1">
      <c r="A3" s="1653" t="s">
        <v>387</v>
      </c>
      <c r="B3" s="1653"/>
      <c r="C3" s="1653"/>
      <c r="D3" s="1653"/>
      <c r="E3" s="1653"/>
      <c r="F3" s="1653"/>
    </row>
    <row r="4" spans="1:20" ht="18.75" customHeight="1">
      <c r="A4" s="1654" t="str">
        <f>"Cost of Service Formula Rate Using Actual/Projected FF1 Balances"</f>
        <v>Cost of Service Formula Rate Using Actual/Projected FF1 Balances</v>
      </c>
      <c r="B4" s="1654"/>
      <c r="C4" s="1654"/>
      <c r="D4" s="1654"/>
      <c r="E4" s="1654"/>
      <c r="F4" s="1654"/>
    </row>
    <row r="5" spans="1:20" ht="18.75" customHeight="1">
      <c r="A5" s="1654" t="s">
        <v>217</v>
      </c>
      <c r="B5" s="1654"/>
      <c r="C5" s="1654"/>
      <c r="D5" s="1654"/>
      <c r="E5" s="1654"/>
      <c r="F5" s="1654"/>
    </row>
    <row r="6" spans="1:20" ht="18" customHeight="1">
      <c r="A6" s="1661" t="str">
        <f>TCOS!F9</f>
        <v>Ohio Power Company</v>
      </c>
      <c r="B6" s="1654"/>
      <c r="C6" s="1654"/>
      <c r="D6" s="1654"/>
      <c r="E6" s="1654"/>
      <c r="F6" s="1654"/>
    </row>
    <row r="7" spans="1:20" ht="18" customHeight="1">
      <c r="A7" s="1665"/>
      <c r="B7" s="1665"/>
      <c r="C7" s="1665"/>
      <c r="D7" s="1665"/>
      <c r="E7" s="1665"/>
      <c r="F7" s="1665"/>
    </row>
    <row r="8" spans="1:20" ht="19.5" customHeight="1">
      <c r="A8" s="113"/>
      <c r="B8" s="114"/>
      <c r="C8" s="35" t="s">
        <v>162</v>
      </c>
      <c r="E8" s="35" t="s">
        <v>163</v>
      </c>
      <c r="F8" s="248" t="s">
        <v>164</v>
      </c>
      <c r="G8" s="248" t="s">
        <v>165</v>
      </c>
    </row>
    <row r="9" spans="1:20" ht="18">
      <c r="A9" s="201"/>
      <c r="B9" s="202"/>
      <c r="C9" s="202"/>
      <c r="D9" s="202"/>
      <c r="E9"/>
      <c r="F9" s="16"/>
      <c r="G9" s="249"/>
      <c r="H9" s="38"/>
      <c r="I9" s="38"/>
      <c r="J9" s="38"/>
      <c r="K9" s="38"/>
      <c r="L9" s="38"/>
      <c r="M9" s="38"/>
      <c r="N9" s="38"/>
      <c r="O9" s="38"/>
      <c r="P9" s="38"/>
      <c r="Q9" s="38"/>
      <c r="R9" s="38"/>
      <c r="S9" s="38"/>
      <c r="T9" s="38"/>
    </row>
    <row r="10" spans="1:20" ht="18">
      <c r="A10" s="201" t="s">
        <v>169</v>
      </c>
      <c r="B10" s="202"/>
      <c r="C10" s="202"/>
      <c r="D10" s="202"/>
      <c r="E10" s="203" t="s">
        <v>118</v>
      </c>
      <c r="F10" s="250" t="s">
        <v>76</v>
      </c>
      <c r="G10" s="251"/>
    </row>
    <row r="11" spans="1:20" ht="18">
      <c r="A11" s="205" t="s">
        <v>117</v>
      </c>
      <c r="B11" s="252"/>
      <c r="C11" s="205" t="s">
        <v>30</v>
      </c>
      <c r="D11" s="1095"/>
      <c r="E11" s="206" t="s">
        <v>183</v>
      </c>
      <c r="F11" s="205" t="s">
        <v>77</v>
      </c>
      <c r="G11" s="206" t="s">
        <v>78</v>
      </c>
      <c r="H11" s="1095"/>
      <c r="I11" s="1095"/>
    </row>
    <row r="12" spans="1:20" ht="18">
      <c r="A12" s="115"/>
      <c r="B12" s="114"/>
      <c r="C12" s="110"/>
      <c r="D12" s="110"/>
      <c r="E12" s="110"/>
      <c r="F12" s="250"/>
      <c r="G12" s="253"/>
      <c r="H12" s="254"/>
      <c r="I12" s="1096"/>
    </row>
    <row r="13" spans="1:20" ht="18">
      <c r="A13" s="113"/>
      <c r="B13" s="114"/>
      <c r="C13" s="114"/>
      <c r="D13" s="114"/>
      <c r="E13" s="116"/>
      <c r="F13" s="110"/>
    </row>
    <row r="14" spans="1:20" ht="19.5">
      <c r="A14" s="113">
        <v>1</v>
      </c>
      <c r="B14" s="114"/>
      <c r="C14" s="117" t="s">
        <v>323</v>
      </c>
      <c r="D14" s="114"/>
      <c r="E14" s="124"/>
      <c r="F14" s="112"/>
    </row>
    <row r="15" spans="1:20" ht="19.5">
      <c r="A15" s="113">
        <f>+A14+1</f>
        <v>2</v>
      </c>
      <c r="B15" s="114"/>
      <c r="C15" s="109" t="s">
        <v>307</v>
      </c>
      <c r="D15"/>
      <c r="E15" s="262">
        <f>SUM(F16:F19)</f>
        <v>6771988</v>
      </c>
      <c r="F15" s="124"/>
      <c r="G15" s="254"/>
      <c r="H15" s="254"/>
    </row>
    <row r="16" spans="1:20" ht="19.5">
      <c r="A16" s="113"/>
      <c r="B16" s="114"/>
      <c r="C16" s="119"/>
      <c r="D16"/>
      <c r="E16" s="261"/>
      <c r="F16" s="860">
        <v>-157895</v>
      </c>
      <c r="G16" s="1550" t="s">
        <v>1309</v>
      </c>
      <c r="H16" s="254"/>
    </row>
    <row r="17" spans="1:9" ht="19.5">
      <c r="A17" s="113"/>
      <c r="B17" s="114"/>
      <c r="C17" s="119"/>
      <c r="D17"/>
      <c r="E17" s="261"/>
      <c r="F17" s="860">
        <v>6929883</v>
      </c>
      <c r="G17" s="861" t="s">
        <v>1310</v>
      </c>
      <c r="H17" s="254"/>
    </row>
    <row r="18" spans="1:9" ht="19.5">
      <c r="A18" s="113"/>
      <c r="B18" s="114"/>
      <c r="C18" s="119"/>
      <c r="D18"/>
      <c r="E18" s="261"/>
      <c r="F18" s="1292"/>
      <c r="G18" s="1550"/>
      <c r="H18" s="254"/>
    </row>
    <row r="19" spans="1:9" ht="18" customHeight="1">
      <c r="A19" s="113"/>
      <c r="B19" s="114"/>
      <c r="C19" s="119"/>
      <c r="D19"/>
      <c r="E19" s="261"/>
      <c r="F19" s="860"/>
      <c r="G19" s="1550"/>
      <c r="H19" s="254"/>
    </row>
    <row r="20" spans="1:9" ht="18" customHeight="1">
      <c r="A20" s="113"/>
      <c r="B20" s="114"/>
      <c r="C20" s="119"/>
      <c r="D20"/>
      <c r="E20" s="261"/>
      <c r="F20" s="860"/>
      <c r="G20" s="1550"/>
      <c r="H20" s="254"/>
    </row>
    <row r="21" spans="1:9" ht="18" customHeight="1">
      <c r="A21" s="113"/>
      <c r="B21" s="114"/>
      <c r="C21" s="119"/>
      <c r="D21"/>
      <c r="E21" s="261"/>
      <c r="F21" s="900"/>
      <c r="G21" s="901"/>
      <c r="H21" s="254"/>
    </row>
    <row r="22" spans="1:9" ht="18" customHeight="1">
      <c r="A22" s="113"/>
      <c r="B22" s="114"/>
      <c r="C22" s="35" t="s">
        <v>162</v>
      </c>
      <c r="D22" s="35" t="s">
        <v>163</v>
      </c>
      <c r="E22" s="248" t="s">
        <v>164</v>
      </c>
      <c r="F22" s="248" t="s">
        <v>165</v>
      </c>
      <c r="G22" s="248" t="s">
        <v>84</v>
      </c>
      <c r="H22" s="1132" t="s">
        <v>85</v>
      </c>
      <c r="I22" s="248" t="s">
        <v>86</v>
      </c>
    </row>
    <row r="23" spans="1:9" ht="58.5" customHeight="1">
      <c r="A23" s="205"/>
      <c r="B23" s="252"/>
      <c r="C23" s="1133" t="s">
        <v>749</v>
      </c>
      <c r="D23" s="1134" t="s">
        <v>667</v>
      </c>
      <c r="E23" s="1135" t="s">
        <v>747</v>
      </c>
      <c r="F23" s="1136" t="s">
        <v>748</v>
      </c>
      <c r="G23" s="1137" t="s">
        <v>78</v>
      </c>
      <c r="H23" s="1135" t="s">
        <v>816</v>
      </c>
      <c r="I23" s="1136" t="s">
        <v>746</v>
      </c>
    </row>
    <row r="24" spans="1:9" ht="19.5">
      <c r="A24" s="113"/>
      <c r="B24" s="114"/>
      <c r="C24" s="306"/>
      <c r="D24" s="5"/>
      <c r="E24" s="261"/>
      <c r="F24" s="262"/>
      <c r="G24" s="1088"/>
      <c r="H24" s="254"/>
      <c r="I24" s="254"/>
    </row>
    <row r="25" spans="1:9" ht="39">
      <c r="A25" s="1086">
        <f>+A15+1</f>
        <v>3</v>
      </c>
      <c r="B25" s="1087"/>
      <c r="C25" s="1131" t="s">
        <v>745</v>
      </c>
      <c r="D25" s="1138"/>
      <c r="E25" s="1139">
        <f>E27+E39+E50+E56</f>
        <v>322445714</v>
      </c>
      <c r="F25" s="1140"/>
      <c r="G25" s="1097"/>
      <c r="H25" s="1141"/>
      <c r="I25" s="1139">
        <f>I27+I39+I50+I56</f>
        <v>103584436.17399351</v>
      </c>
    </row>
    <row r="26" spans="1:9" ht="19.5">
      <c r="A26" s="113"/>
      <c r="B26" s="114"/>
      <c r="C26" s="117"/>
      <c r="D26"/>
      <c r="E26" s="261"/>
      <c r="F26" s="256"/>
      <c r="G26" s="1088"/>
      <c r="H26" s="1089"/>
      <c r="I26" s="1090"/>
    </row>
    <row r="27" spans="1:9" ht="19.5">
      <c r="A27" s="113">
        <f>+A25+1</f>
        <v>4</v>
      </c>
      <c r="B27" s="114"/>
      <c r="C27" s="1091" t="s">
        <v>927</v>
      </c>
      <c r="D27"/>
      <c r="E27" s="262">
        <f>SUM(F28:F38)</f>
        <v>321585154</v>
      </c>
      <c r="F27" s="256"/>
      <c r="G27" s="255"/>
      <c r="H27" s="257"/>
      <c r="I27" s="1085">
        <f>SUM(I28:I38)</f>
        <v>102723876.17399351</v>
      </c>
    </row>
    <row r="28" spans="1:9" ht="19.5">
      <c r="A28" s="113"/>
      <c r="B28" s="114"/>
      <c r="C28" s="1091"/>
      <c r="D28" s="1314">
        <v>2019</v>
      </c>
      <c r="E28" s="262"/>
      <c r="F28" s="1292">
        <v>-1098421</v>
      </c>
      <c r="G28" s="1550" t="s">
        <v>1313</v>
      </c>
      <c r="H28" s="1551">
        <v>0.32079999999999997</v>
      </c>
      <c r="I28" s="1146">
        <f t="shared" ref="I28:I33" si="0">+F28*H28</f>
        <v>-352373.45679999999</v>
      </c>
    </row>
    <row r="29" spans="1:9" ht="19.5">
      <c r="A29" s="113"/>
      <c r="B29" s="114"/>
      <c r="C29" s="1091"/>
      <c r="D29" s="1314">
        <v>2020</v>
      </c>
      <c r="E29" s="262"/>
      <c r="F29" s="860">
        <v>321694576</v>
      </c>
      <c r="G29" s="1550" t="s">
        <v>1314</v>
      </c>
      <c r="H29" s="1551">
        <v>0.31943643702827357</v>
      </c>
      <c r="I29" s="1146">
        <f t="shared" si="0"/>
        <v>102760969.16876116</v>
      </c>
    </row>
    <row r="30" spans="1:9" ht="19.5">
      <c r="A30" s="113"/>
      <c r="B30" s="114"/>
      <c r="C30" s="1091"/>
      <c r="D30" s="1314">
        <v>2021</v>
      </c>
      <c r="E30" s="262"/>
      <c r="F30" s="1292">
        <v>988999</v>
      </c>
      <c r="G30" s="1550" t="s">
        <v>1315</v>
      </c>
      <c r="H30" s="1551">
        <f>'WS H Other Taxes'!G59</f>
        <v>0.31878744268937587</v>
      </c>
      <c r="I30" s="1146">
        <f t="shared" si="0"/>
        <v>315280.46203235007</v>
      </c>
    </row>
    <row r="31" spans="1:9" ht="19.5">
      <c r="A31" s="113"/>
      <c r="B31" s="114"/>
      <c r="C31" s="1091"/>
      <c r="D31" s="1314"/>
      <c r="E31" s="262"/>
      <c r="F31" s="1292"/>
      <c r="G31" s="861"/>
      <c r="H31" s="1551"/>
      <c r="I31" s="1146">
        <f t="shared" si="0"/>
        <v>0</v>
      </c>
    </row>
    <row r="32" spans="1:9" ht="19.5">
      <c r="A32" s="113"/>
      <c r="B32" s="114"/>
      <c r="C32" s="1091"/>
      <c r="D32" s="1314"/>
      <c r="E32" s="262"/>
      <c r="F32" s="1292"/>
      <c r="G32" s="1550"/>
      <c r="H32" s="1551"/>
      <c r="I32" s="1146">
        <f t="shared" si="0"/>
        <v>0</v>
      </c>
    </row>
    <row r="33" spans="1:9" ht="19.5">
      <c r="A33" s="113"/>
      <c r="B33" s="114"/>
      <c r="C33" s="1091"/>
      <c r="D33" s="1314"/>
      <c r="E33" s="262"/>
      <c r="F33" s="860"/>
      <c r="G33" s="1550"/>
      <c r="H33" s="1551"/>
      <c r="I33" s="1146">
        <f t="shared" si="0"/>
        <v>0</v>
      </c>
    </row>
    <row r="34" spans="1:9" ht="19.5">
      <c r="A34" s="113"/>
      <c r="B34" s="114"/>
      <c r="C34" s="1091"/>
      <c r="D34" s="1314"/>
      <c r="E34" s="262"/>
      <c r="F34" s="860"/>
      <c r="G34" s="1550"/>
      <c r="H34" s="1551"/>
      <c r="I34" s="1146">
        <f t="shared" ref="I34:I48" si="1">F34*H34</f>
        <v>0</v>
      </c>
    </row>
    <row r="35" spans="1:9" ht="19.5">
      <c r="A35" s="113"/>
      <c r="B35" s="114"/>
      <c r="C35" s="1091"/>
      <c r="D35" s="1314"/>
      <c r="E35" s="262"/>
      <c r="F35" s="1292"/>
      <c r="G35" s="1550"/>
      <c r="H35" s="1551"/>
      <c r="I35" s="1146">
        <f t="shared" si="1"/>
        <v>0</v>
      </c>
    </row>
    <row r="36" spans="1:9" ht="19.5">
      <c r="A36" s="113"/>
      <c r="B36" s="114"/>
      <c r="C36" s="1091"/>
      <c r="D36" s="1314"/>
      <c r="E36" s="262"/>
      <c r="F36" s="1292"/>
      <c r="G36" s="861"/>
      <c r="H36" s="1551"/>
      <c r="I36" s="1146">
        <f t="shared" si="1"/>
        <v>0</v>
      </c>
    </row>
    <row r="37" spans="1:9" ht="19.5">
      <c r="A37" s="113"/>
      <c r="B37" s="114"/>
      <c r="C37" s="1091"/>
      <c r="D37" s="1314"/>
      <c r="E37" s="262"/>
      <c r="F37" s="1292"/>
      <c r="G37" s="861"/>
      <c r="H37" s="1083"/>
      <c r="I37" s="1146">
        <f t="shared" si="1"/>
        <v>0</v>
      </c>
    </row>
    <row r="38" spans="1:9" ht="19.5">
      <c r="A38" s="113"/>
      <c r="B38" s="114"/>
      <c r="C38" s="1091"/>
      <c r="D38" s="860"/>
      <c r="E38" s="262"/>
      <c r="F38" s="860"/>
      <c r="G38" s="861"/>
      <c r="H38" s="1083"/>
      <c r="I38" s="1146">
        <f t="shared" si="1"/>
        <v>0</v>
      </c>
    </row>
    <row r="39" spans="1:9" ht="19.5">
      <c r="A39" s="113">
        <f>+A27+1</f>
        <v>5</v>
      </c>
      <c r="B39" s="114"/>
      <c r="C39" s="1091" t="s">
        <v>984</v>
      </c>
      <c r="D39"/>
      <c r="E39" s="262">
        <f>SUM(F40:F46)</f>
        <v>860560</v>
      </c>
      <c r="F39" s="158"/>
      <c r="G39" s="255"/>
      <c r="H39" s="254"/>
      <c r="I39" s="1146">
        <f>SUM(I40:I48)</f>
        <v>860560</v>
      </c>
    </row>
    <row r="40" spans="1:9" ht="19.5">
      <c r="A40" s="113"/>
      <c r="B40" s="114"/>
      <c r="C40" s="1091"/>
      <c r="D40" s="1314">
        <v>2019</v>
      </c>
      <c r="E40" s="262"/>
      <c r="F40" s="1292">
        <v>452975</v>
      </c>
      <c r="G40" s="1550" t="s">
        <v>1311</v>
      </c>
      <c r="H40" s="1084">
        <v>1</v>
      </c>
      <c r="I40" s="1146">
        <f>F40*H40</f>
        <v>452975</v>
      </c>
    </row>
    <row r="41" spans="1:9" ht="19.5">
      <c r="A41" s="113"/>
      <c r="B41" s="114"/>
      <c r="C41" s="1091"/>
      <c r="D41" s="1314">
        <v>2020</v>
      </c>
      <c r="E41" s="262"/>
      <c r="F41" s="1292">
        <v>407585</v>
      </c>
      <c r="G41" s="1550" t="s">
        <v>1312</v>
      </c>
      <c r="H41" s="1083">
        <v>1</v>
      </c>
      <c r="I41" s="1146">
        <f t="shared" si="1"/>
        <v>407585</v>
      </c>
    </row>
    <row r="42" spans="1:9" ht="19.5">
      <c r="A42" s="113"/>
      <c r="B42" s="114"/>
      <c r="C42" s="1091"/>
      <c r="D42" s="860"/>
      <c r="E42" s="262"/>
      <c r="F42" s="860"/>
      <c r="G42" s="861"/>
      <c r="H42" s="861"/>
      <c r="I42" s="1146">
        <f t="shared" si="1"/>
        <v>0</v>
      </c>
    </row>
    <row r="43" spans="1:9" ht="19.5">
      <c r="A43" s="113"/>
      <c r="B43" s="114"/>
      <c r="C43" s="1091"/>
      <c r="D43" s="860"/>
      <c r="E43" s="262"/>
      <c r="F43" s="860"/>
      <c r="G43" s="861"/>
      <c r="H43" s="861"/>
      <c r="I43" s="1146">
        <f t="shared" si="1"/>
        <v>0</v>
      </c>
    </row>
    <row r="44" spans="1:9" ht="19.5">
      <c r="A44" s="113"/>
      <c r="B44" s="114"/>
      <c r="C44" s="1091"/>
      <c r="D44" s="860"/>
      <c r="E44" s="262"/>
      <c r="F44" s="860"/>
      <c r="G44" s="861"/>
      <c r="H44" s="861"/>
      <c r="I44" s="1146">
        <f t="shared" si="1"/>
        <v>0</v>
      </c>
    </row>
    <row r="45" spans="1:9" ht="19.5">
      <c r="A45" s="113"/>
      <c r="B45" s="114"/>
      <c r="C45" s="1091"/>
      <c r="D45" s="860"/>
      <c r="E45" s="262"/>
      <c r="F45" s="860"/>
      <c r="G45" s="861"/>
      <c r="H45" s="861"/>
      <c r="I45" s="1146">
        <f t="shared" si="1"/>
        <v>0</v>
      </c>
    </row>
    <row r="46" spans="1:9" ht="19.5">
      <c r="A46" s="113"/>
      <c r="B46" s="114"/>
      <c r="C46" s="1091"/>
      <c r="D46" s="860"/>
      <c r="E46" s="262"/>
      <c r="F46" s="860"/>
      <c r="G46" s="861"/>
      <c r="H46" s="861"/>
      <c r="I46" s="1146">
        <f t="shared" si="1"/>
        <v>0</v>
      </c>
    </row>
    <row r="47" spans="1:9" ht="19.5">
      <c r="A47" s="113"/>
      <c r="B47" s="114"/>
      <c r="C47" s="1091"/>
      <c r="D47" s="860"/>
      <c r="E47" s="262"/>
      <c r="F47" s="860"/>
      <c r="G47" s="861"/>
      <c r="H47" s="861"/>
      <c r="I47" s="1146">
        <f t="shared" si="1"/>
        <v>0</v>
      </c>
    </row>
    <row r="48" spans="1:9" ht="19.5">
      <c r="A48" s="113"/>
      <c r="B48" s="114"/>
      <c r="C48" s="1091"/>
      <c r="D48" s="860"/>
      <c r="E48" s="262"/>
      <c r="F48" s="860"/>
      <c r="G48" s="861"/>
      <c r="H48" s="861"/>
      <c r="I48" s="1146">
        <f t="shared" si="1"/>
        <v>0</v>
      </c>
    </row>
    <row r="49" spans="1:9" ht="19.5">
      <c r="A49" s="113"/>
      <c r="B49" s="114"/>
      <c r="C49" s="1091"/>
      <c r="D49" s="112"/>
      <c r="E49" s="262"/>
      <c r="F49" s="6"/>
      <c r="G49" s="300"/>
      <c r="H49" s="254"/>
      <c r="I49" s="254"/>
    </row>
    <row r="50" spans="1:9" ht="19.5">
      <c r="A50" s="113">
        <f>+A39+1</f>
        <v>6</v>
      </c>
      <c r="B50" s="114"/>
      <c r="C50" s="1091" t="s">
        <v>928</v>
      </c>
      <c r="D50" s="218"/>
      <c r="E50" s="262">
        <f>SUM(F51:F54)</f>
        <v>0</v>
      </c>
      <c r="F50" s="124" t="s">
        <v>114</v>
      </c>
      <c r="G50" s="300" t="s">
        <v>114</v>
      </c>
      <c r="H50" s="254"/>
      <c r="I50" s="1146">
        <f>SUM(I51:I55)</f>
        <v>0</v>
      </c>
    </row>
    <row r="51" spans="1:9" ht="19.5">
      <c r="A51" s="113"/>
      <c r="B51" s="114"/>
      <c r="C51" s="1091"/>
      <c r="D51" s="1314"/>
      <c r="E51" s="262"/>
      <c r="F51" s="1292"/>
      <c r="G51" s="1550"/>
      <c r="H51" s="1551">
        <v>1</v>
      </c>
      <c r="I51" s="1146">
        <f>F51*H51</f>
        <v>0</v>
      </c>
    </row>
    <row r="52" spans="1:9" ht="19.5">
      <c r="A52" s="113"/>
      <c r="B52" s="114"/>
      <c r="C52" s="1091"/>
      <c r="D52" s="1314"/>
      <c r="E52" s="262"/>
      <c r="F52" s="860"/>
      <c r="G52" s="861"/>
      <c r="H52" s="1083"/>
      <c r="I52" s="1146">
        <f>F52*H52</f>
        <v>0</v>
      </c>
    </row>
    <row r="53" spans="1:9" ht="19.5">
      <c r="A53" s="113"/>
      <c r="B53" s="114"/>
      <c r="C53" s="1091"/>
      <c r="D53" s="860"/>
      <c r="E53" s="262"/>
      <c r="F53" s="860"/>
      <c r="G53" s="861"/>
      <c r="H53" s="861"/>
      <c r="I53" s="1146">
        <f>F53*H53</f>
        <v>0</v>
      </c>
    </row>
    <row r="54" spans="1:9" ht="19.5">
      <c r="A54" s="113"/>
      <c r="B54" s="114"/>
      <c r="C54" s="1091"/>
      <c r="D54" s="860"/>
      <c r="E54" s="262"/>
      <c r="F54" s="860"/>
      <c r="G54" s="861"/>
      <c r="H54" s="861"/>
      <c r="I54" s="1146">
        <f>F54*H54</f>
        <v>0</v>
      </c>
    </row>
    <row r="55" spans="1:9" ht="19.5">
      <c r="A55" s="113"/>
      <c r="B55" s="114"/>
      <c r="C55" s="1091"/>
      <c r="D55" s="860"/>
      <c r="E55" s="262"/>
      <c r="F55" s="860"/>
      <c r="G55" s="861"/>
      <c r="H55" s="861"/>
      <c r="I55" s="1146">
        <f>F55*H55</f>
        <v>0</v>
      </c>
    </row>
    <row r="56" spans="1:9" ht="19.5">
      <c r="A56" s="113"/>
      <c r="B56" s="114"/>
      <c r="C56" s="1091"/>
      <c r="D56" s="218"/>
      <c r="E56" s="262">
        <f>SUM(F57:F59)</f>
        <v>0</v>
      </c>
      <c r="F56" s="299"/>
      <c r="G56" s="300"/>
      <c r="H56" s="254"/>
      <c r="I56" s="1147">
        <f>SUM(I57:I59)</f>
        <v>0</v>
      </c>
    </row>
    <row r="57" spans="1:9" ht="19.5">
      <c r="A57" s="113">
        <f>A50+1</f>
        <v>7</v>
      </c>
      <c r="B57" s="114"/>
      <c r="C57" s="1091" t="s">
        <v>463</v>
      </c>
      <c r="D57" s="860"/>
      <c r="E57" s="262"/>
      <c r="F57" s="860"/>
      <c r="G57" s="861"/>
      <c r="H57" s="861"/>
      <c r="I57" s="1146">
        <f>F57*H57</f>
        <v>0</v>
      </c>
    </row>
    <row r="58" spans="1:9" ht="19.5">
      <c r="A58" s="113"/>
      <c r="B58" s="114"/>
      <c r="C58" s="112"/>
      <c r="D58" s="860"/>
      <c r="E58" s="262"/>
      <c r="F58" s="860"/>
      <c r="G58" s="861"/>
      <c r="H58" s="861"/>
      <c r="I58" s="1146">
        <f>F58*H58</f>
        <v>0</v>
      </c>
    </row>
    <row r="59" spans="1:9" ht="19.5">
      <c r="A59" s="113"/>
      <c r="B59" s="114"/>
      <c r="C59" s="112"/>
      <c r="D59" s="860"/>
      <c r="E59" s="262"/>
      <c r="F59" s="860"/>
      <c r="G59" s="861"/>
      <c r="H59" s="861"/>
      <c r="I59" s="1146">
        <f>F59*H59</f>
        <v>0</v>
      </c>
    </row>
    <row r="60" spans="1:9" ht="19.5">
      <c r="A60" s="1098"/>
      <c r="B60" s="1099"/>
      <c r="C60" s="1100"/>
      <c r="D60" s="1101"/>
      <c r="E60" s="1102"/>
      <c r="F60" s="1101"/>
      <c r="G60" s="1103"/>
      <c r="H60" s="1103"/>
      <c r="I60" s="1104"/>
    </row>
    <row r="61" spans="1:9" ht="19.5">
      <c r="A61" s="113"/>
      <c r="B61" s="114"/>
      <c r="C61" s="112"/>
      <c r="D61" s="218"/>
      <c r="E61" s="262"/>
      <c r="F61" s="299"/>
      <c r="G61" s="300"/>
      <c r="H61" s="254"/>
    </row>
    <row r="62" spans="1:9" ht="18">
      <c r="A62" s="113"/>
      <c r="B62" s="114"/>
      <c r="C62" s="35" t="s">
        <v>162</v>
      </c>
      <c r="E62" s="35" t="s">
        <v>163</v>
      </c>
      <c r="F62" s="248" t="s">
        <v>164</v>
      </c>
      <c r="G62" s="248" t="s">
        <v>165</v>
      </c>
      <c r="H62" s="254"/>
    </row>
    <row r="63" spans="1:9" ht="18">
      <c r="A63" s="201"/>
      <c r="B63" s="202"/>
      <c r="C63" s="202"/>
      <c r="D63" s="202"/>
      <c r="E63"/>
      <c r="F63" s="16"/>
      <c r="G63" s="249"/>
      <c r="H63" s="254"/>
    </row>
    <row r="64" spans="1:9" ht="18">
      <c r="A64" s="201" t="s">
        <v>169</v>
      </c>
      <c r="B64" s="202"/>
      <c r="C64" s="202"/>
      <c r="D64" s="202"/>
      <c r="E64" s="203" t="s">
        <v>118</v>
      </c>
      <c r="F64" s="250" t="s">
        <v>76</v>
      </c>
      <c r="G64" s="251"/>
      <c r="H64" s="254"/>
    </row>
    <row r="65" spans="1:8" ht="18">
      <c r="A65" s="205" t="s">
        <v>117</v>
      </c>
      <c r="B65" s="252"/>
      <c r="C65" s="205" t="s">
        <v>30</v>
      </c>
      <c r="D65" s="1095"/>
      <c r="E65" s="206" t="s">
        <v>183</v>
      </c>
      <c r="F65" s="205" t="s">
        <v>77</v>
      </c>
      <c r="G65" s="206" t="s">
        <v>78</v>
      </c>
      <c r="H65" s="254"/>
    </row>
    <row r="66" spans="1:8" ht="19.5">
      <c r="A66" s="113">
        <f>+A57+1</f>
        <v>8</v>
      </c>
      <c r="B66" s="114"/>
      <c r="C66" s="117" t="s">
        <v>325</v>
      </c>
      <c r="D66" s="114"/>
      <c r="E66" s="261"/>
      <c r="F66" s="257" t="s">
        <v>114</v>
      </c>
      <c r="G66" s="255"/>
      <c r="H66" s="254"/>
    </row>
    <row r="67" spans="1:8" ht="19.5">
      <c r="A67" s="113">
        <f>+A66+1</f>
        <v>9</v>
      </c>
      <c r="B67" s="114"/>
      <c r="C67" s="112" t="s">
        <v>321</v>
      </c>
      <c r="D67" s="114"/>
      <c r="E67" s="262">
        <f>SUM(F68)</f>
        <v>5830997</v>
      </c>
      <c r="F67" s="258"/>
      <c r="G67" s="255"/>
      <c r="H67" s="254"/>
    </row>
    <row r="68" spans="1:8" ht="19.5">
      <c r="A68" s="113"/>
      <c r="B68" s="114"/>
      <c r="C68" s="112"/>
      <c r="D68" s="114"/>
      <c r="E68" s="262"/>
      <c r="F68" s="860">
        <v>5830997</v>
      </c>
      <c r="G68" s="861" t="s">
        <v>1316</v>
      </c>
      <c r="H68" s="254"/>
    </row>
    <row r="69" spans="1:8" ht="19.5">
      <c r="A69" s="113">
        <f>+A67+1</f>
        <v>10</v>
      </c>
      <c r="B69" s="114"/>
      <c r="C69" s="112" t="s">
        <v>314</v>
      </c>
      <c r="D69" s="114"/>
      <c r="E69" s="262">
        <f>SUM(F70)</f>
        <v>39949</v>
      </c>
      <c r="F69" s="124"/>
      <c r="G69" s="307"/>
      <c r="H69" s="254"/>
    </row>
    <row r="70" spans="1:8" ht="19.5">
      <c r="A70" s="113"/>
      <c r="B70" s="114"/>
      <c r="C70" s="112"/>
      <c r="D70" s="114"/>
      <c r="E70" s="262"/>
      <c r="F70" s="860">
        <v>39949</v>
      </c>
      <c r="G70" s="861" t="s">
        <v>1317</v>
      </c>
      <c r="H70" s="254"/>
    </row>
    <row r="71" spans="1:8" ht="19.5">
      <c r="A71" s="113">
        <f>+A69+1</f>
        <v>11</v>
      </c>
      <c r="B71" s="114"/>
      <c r="C71" s="112" t="s">
        <v>315</v>
      </c>
      <c r="D71" s="114"/>
      <c r="E71" s="262">
        <f>SUM(F72:F76)</f>
        <v>142306</v>
      </c>
      <c r="F71" s="124"/>
      <c r="G71" s="255"/>
      <c r="H71" s="254"/>
    </row>
    <row r="72" spans="1:8" ht="19.5">
      <c r="A72" s="113"/>
      <c r="B72" s="114"/>
      <c r="C72" s="112"/>
      <c r="D72" s="114"/>
      <c r="E72" s="262"/>
      <c r="F72" s="860">
        <v>142298</v>
      </c>
      <c r="G72" s="861" t="s">
        <v>1318</v>
      </c>
      <c r="H72" s="254"/>
    </row>
    <row r="73" spans="1:8" ht="19.5">
      <c r="A73" s="113"/>
      <c r="B73" s="114"/>
      <c r="C73" s="112"/>
      <c r="D73" s="114"/>
      <c r="E73" s="262"/>
      <c r="F73" s="860">
        <v>8</v>
      </c>
      <c r="G73" s="1550" t="s">
        <v>1319</v>
      </c>
      <c r="H73" s="254"/>
    </row>
    <row r="74" spans="1:8" ht="19.5">
      <c r="A74" s="113"/>
      <c r="B74" s="114"/>
      <c r="C74" s="112"/>
      <c r="D74" s="114"/>
      <c r="E74" s="262"/>
      <c r="F74" s="860"/>
      <c r="G74" s="861"/>
      <c r="H74" s="254"/>
    </row>
    <row r="75" spans="1:8" ht="19.5">
      <c r="A75" s="111"/>
      <c r="B75" s="111"/>
      <c r="C75" s="111"/>
      <c r="D75" s="114"/>
      <c r="E75" s="261"/>
      <c r="F75" s="860"/>
      <c r="G75" s="861"/>
      <c r="H75" s="254"/>
    </row>
    <row r="76" spans="1:8" ht="19.5">
      <c r="A76" s="111"/>
      <c r="B76" s="111"/>
      <c r="C76" s="111"/>
      <c r="D76" s="114"/>
      <c r="E76" s="261"/>
      <c r="F76" s="860"/>
      <c r="G76" s="861"/>
      <c r="H76" s="254"/>
    </row>
    <row r="77" spans="1:8" ht="19.5">
      <c r="A77" s="113">
        <f>A71+1</f>
        <v>12</v>
      </c>
      <c r="B77" s="114"/>
      <c r="C77" s="117" t="s">
        <v>440</v>
      </c>
      <c r="D77" s="114"/>
      <c r="E77" s="262">
        <f>SUM(F78:F78)</f>
        <v>0</v>
      </c>
      <c r="F77" s="299"/>
      <c r="G77" s="300"/>
      <c r="H77" s="254"/>
    </row>
    <row r="78" spans="1:8" ht="19.5">
      <c r="A78" s="113">
        <f>+A77+1</f>
        <v>13</v>
      </c>
      <c r="B78" s="114"/>
      <c r="C78" s="124" t="s">
        <v>441</v>
      </c>
      <c r="D78" s="218"/>
      <c r="E78" s="262"/>
      <c r="F78" s="860"/>
      <c r="G78" s="861"/>
      <c r="H78" s="254"/>
    </row>
    <row r="79" spans="1:8" ht="19.5">
      <c r="A79" s="113"/>
      <c r="B79" s="114"/>
      <c r="C79" s="109"/>
      <c r="D79" s="114"/>
      <c r="E79" s="266"/>
      <c r="F79" s="299"/>
      <c r="G79" s="109"/>
      <c r="H79" s="254"/>
    </row>
    <row r="80" spans="1:8" ht="19.5">
      <c r="A80" s="121">
        <f>+A78+1</f>
        <v>14</v>
      </c>
      <c r="B80" s="114"/>
      <c r="C80" s="117" t="s">
        <v>322</v>
      </c>
      <c r="D80" s="123"/>
      <c r="E80" s="261"/>
      <c r="F80" s="124"/>
      <c r="G80" s="109"/>
      <c r="H80" s="254"/>
    </row>
    <row r="81" spans="1:8" ht="19.5">
      <c r="A81" s="121">
        <f>A80+1</f>
        <v>15</v>
      </c>
      <c r="B81" s="122"/>
      <c r="C81" s="109" t="s">
        <v>439</v>
      </c>
      <c r="D81" s="123"/>
      <c r="E81" s="262">
        <f>SUM(F82:F83)</f>
        <v>0</v>
      </c>
      <c r="F81" s="124"/>
      <c r="G81" s="109"/>
      <c r="H81" s="254"/>
    </row>
    <row r="82" spans="1:8" ht="19.5">
      <c r="A82" s="121"/>
      <c r="B82" s="122"/>
      <c r="C82" s="109"/>
      <c r="D82" s="111"/>
      <c r="E82" s="266"/>
      <c r="F82" s="1292"/>
      <c r="G82" s="861"/>
      <c r="H82" s="254"/>
    </row>
    <row r="83" spans="1:8" ht="19.5">
      <c r="A83" s="121"/>
      <c r="B83" s="122"/>
      <c r="C83" s="109"/>
      <c r="D83" s="111"/>
      <c r="E83" s="266"/>
      <c r="F83" s="860"/>
      <c r="G83" s="861"/>
      <c r="H83" s="254"/>
    </row>
    <row r="84" spans="1:8" ht="19.5">
      <c r="A84" s="121"/>
      <c r="B84" s="122"/>
      <c r="C84" s="109"/>
      <c r="D84" s="111"/>
      <c r="E84" s="266"/>
      <c r="F84" s="860"/>
      <c r="G84" s="861"/>
      <c r="H84" s="254"/>
    </row>
    <row r="85" spans="1:8" ht="19.5">
      <c r="A85" s="113">
        <f>A81+1</f>
        <v>16</v>
      </c>
      <c r="B85" s="122"/>
      <c r="C85" s="109" t="s">
        <v>316</v>
      </c>
      <c r="D85" s="114"/>
      <c r="E85" s="262">
        <f>SUM(F86:F87)</f>
        <v>0</v>
      </c>
      <c r="F85" s="124"/>
      <c r="G85" s="109"/>
      <c r="H85" s="254"/>
    </row>
    <row r="86" spans="1:8" ht="19.5">
      <c r="A86" s="113"/>
      <c r="B86" s="122"/>
      <c r="C86" s="109"/>
      <c r="D86" s="114"/>
      <c r="E86" s="158"/>
      <c r="F86" s="1292"/>
      <c r="G86" s="861"/>
      <c r="H86" s="254"/>
    </row>
    <row r="87" spans="1:8" ht="19.5">
      <c r="A87" s="113"/>
      <c r="B87" s="122"/>
      <c r="C87" s="109"/>
      <c r="D87" s="114"/>
      <c r="E87" s="158"/>
      <c r="F87" s="860"/>
      <c r="G87" s="861"/>
      <c r="H87" s="254"/>
    </row>
    <row r="88" spans="1:8" ht="19.5">
      <c r="A88" s="113"/>
      <c r="B88" s="122"/>
      <c r="C88" s="109"/>
      <c r="D88" s="114"/>
      <c r="E88" s="158"/>
      <c r="F88" s="860"/>
      <c r="G88" s="861"/>
      <c r="H88" s="254"/>
    </row>
    <row r="89" spans="1:8" ht="19.5">
      <c r="A89" s="113">
        <f>+A85+1</f>
        <v>17</v>
      </c>
      <c r="B89" s="114"/>
      <c r="C89" s="109" t="s">
        <v>317</v>
      </c>
      <c r="D89"/>
      <c r="E89" s="262">
        <f>SUM(F90:F97)</f>
        <v>-561</v>
      </c>
      <c r="H89" s="254"/>
    </row>
    <row r="90" spans="1:8" ht="19.5">
      <c r="A90" s="113"/>
      <c r="B90" s="114"/>
      <c r="C90" s="109"/>
      <c r="D90"/>
      <c r="E90" s="158"/>
      <c r="F90" s="860">
        <v>-561</v>
      </c>
      <c r="G90" s="1550" t="s">
        <v>1322</v>
      </c>
      <c r="H90" s="254"/>
    </row>
    <row r="91" spans="1:8" ht="19.5">
      <c r="A91" s="113"/>
      <c r="B91" s="114"/>
      <c r="C91" s="109"/>
      <c r="D91"/>
      <c r="E91" s="158"/>
      <c r="F91" s="860"/>
      <c r="G91" s="861"/>
      <c r="H91" s="254"/>
    </row>
    <row r="92" spans="1:8" ht="19.5">
      <c r="A92" s="113"/>
      <c r="B92" s="114"/>
      <c r="C92" s="109"/>
      <c r="D92"/>
      <c r="E92" s="158"/>
      <c r="F92" s="860"/>
      <c r="G92" s="861"/>
      <c r="H92" s="254"/>
    </row>
    <row r="93" spans="1:8" ht="19.5">
      <c r="A93" s="113"/>
      <c r="B93" s="114"/>
      <c r="C93" s="109"/>
      <c r="D93"/>
      <c r="E93" s="158"/>
      <c r="F93" s="860"/>
      <c r="G93" s="861"/>
      <c r="H93" s="254"/>
    </row>
    <row r="94" spans="1:8" ht="19.5">
      <c r="A94" s="113"/>
      <c r="B94" s="114"/>
      <c r="C94" s="109"/>
      <c r="D94"/>
      <c r="E94" s="158"/>
      <c r="F94" s="860"/>
      <c r="G94" s="861"/>
      <c r="H94" s="254"/>
    </row>
    <row r="95" spans="1:8" ht="19.5">
      <c r="A95" s="113"/>
      <c r="B95" s="114"/>
      <c r="C95" s="109"/>
      <c r="D95"/>
      <c r="E95" s="158"/>
      <c r="F95" s="860"/>
      <c r="G95" s="861"/>
      <c r="H95" s="254"/>
    </row>
    <row r="96" spans="1:8" ht="19.5">
      <c r="A96" s="113"/>
      <c r="B96" s="114"/>
      <c r="C96" s="109"/>
      <c r="D96"/>
      <c r="E96" s="158"/>
      <c r="F96" s="860"/>
      <c r="G96" s="861"/>
      <c r="H96" s="254"/>
    </row>
    <row r="97" spans="1:8" ht="19.5">
      <c r="A97" s="113"/>
      <c r="B97" s="114"/>
      <c r="C97" s="109"/>
      <c r="D97"/>
      <c r="E97" s="158"/>
      <c r="F97" s="860"/>
      <c r="G97" s="861"/>
      <c r="H97" s="254"/>
    </row>
    <row r="98" spans="1:8" ht="19.5">
      <c r="A98" s="113"/>
      <c r="B98" s="114"/>
      <c r="C98" s="109"/>
      <c r="D98"/>
      <c r="E98" s="158"/>
      <c r="F98" s="124"/>
      <c r="G98" s="109"/>
      <c r="H98" s="254"/>
    </row>
    <row r="99" spans="1:8" ht="19.5">
      <c r="A99" s="113">
        <f>+A89+1</f>
        <v>18</v>
      </c>
      <c r="B99" s="114"/>
      <c r="C99" s="109" t="s">
        <v>318</v>
      </c>
      <c r="D99"/>
      <c r="E99" s="262">
        <f>SUM(F100:F105)</f>
        <v>0</v>
      </c>
      <c r="F99" s="124"/>
      <c r="G99" s="109"/>
      <c r="H99" s="254"/>
    </row>
    <row r="100" spans="1:8" ht="19.5">
      <c r="A100" s="113"/>
      <c r="B100" s="114"/>
      <c r="C100" s="109"/>
      <c r="D100"/>
      <c r="E100" s="158"/>
      <c r="F100" s="860"/>
      <c r="G100" s="861"/>
      <c r="H100" s="254"/>
    </row>
    <row r="101" spans="1:8" ht="19.5">
      <c r="A101" s="113"/>
      <c r="B101" s="114"/>
      <c r="C101" s="109"/>
      <c r="D101"/>
      <c r="E101" s="158"/>
      <c r="F101" s="860"/>
      <c r="G101" s="861"/>
      <c r="H101" s="254"/>
    </row>
    <row r="102" spans="1:8" ht="19.5">
      <c r="A102" s="113"/>
      <c r="B102" s="114"/>
      <c r="C102" s="109"/>
      <c r="D102"/>
      <c r="E102" s="158"/>
      <c r="F102" s="860"/>
      <c r="G102" s="861"/>
      <c r="H102" s="254"/>
    </row>
    <row r="103" spans="1:8" ht="19.5">
      <c r="A103" s="113"/>
      <c r="B103" s="114"/>
      <c r="C103" s="109"/>
      <c r="D103"/>
      <c r="E103" s="158"/>
      <c r="F103" s="860"/>
      <c r="G103" s="861"/>
      <c r="H103" s="254"/>
    </row>
    <row r="104" spans="1:8" ht="19.5">
      <c r="A104" s="113"/>
      <c r="B104" s="114"/>
      <c r="C104" s="109"/>
      <c r="D104"/>
      <c r="E104" s="158"/>
      <c r="F104" s="860"/>
      <c r="G104" s="861"/>
      <c r="H104" s="254"/>
    </row>
    <row r="105" spans="1:8" ht="19.5">
      <c r="A105" s="113"/>
      <c r="B105" s="114"/>
      <c r="C105" s="109"/>
      <c r="D105"/>
      <c r="E105" s="158"/>
      <c r="F105" s="860"/>
      <c r="G105" s="861"/>
      <c r="H105" s="254"/>
    </row>
    <row r="106" spans="1:8" ht="19.5">
      <c r="A106" s="113">
        <f>+A99+1</f>
        <v>19</v>
      </c>
      <c r="B106" s="114"/>
      <c r="C106" s="109" t="s">
        <v>319</v>
      </c>
      <c r="D106" s="114"/>
      <c r="E106" s="262">
        <f>SUM(F107:F108)</f>
        <v>0</v>
      </c>
      <c r="F106" s="124"/>
      <c r="G106" s="300"/>
      <c r="H106" s="254"/>
    </row>
    <row r="107" spans="1:8" ht="19.5">
      <c r="A107" s="113"/>
      <c r="B107" s="114"/>
      <c r="C107" s="109"/>
      <c r="D107" s="114"/>
      <c r="E107" s="262"/>
      <c r="F107" s="860"/>
      <c r="G107" s="861"/>
      <c r="H107" s="254"/>
    </row>
    <row r="108" spans="1:8" ht="19.5">
      <c r="A108" s="113"/>
      <c r="B108" s="114"/>
      <c r="C108" s="109"/>
      <c r="D108" s="114"/>
      <c r="E108" s="266"/>
      <c r="F108" s="860"/>
      <c r="G108" s="861"/>
      <c r="H108" s="254"/>
    </row>
    <row r="109" spans="1:8" ht="19.5">
      <c r="A109" s="113">
        <f>+A106+1</f>
        <v>20</v>
      </c>
      <c r="B109" s="114"/>
      <c r="C109" s="109" t="s">
        <v>320</v>
      </c>
      <c r="D109" s="111"/>
      <c r="E109" s="262">
        <f>SUM(F110:F112)</f>
        <v>-859</v>
      </c>
      <c r="G109" s="109"/>
      <c r="H109" s="254"/>
    </row>
    <row r="110" spans="1:8" ht="19.5">
      <c r="A110" s="113"/>
      <c r="B110" s="114"/>
      <c r="C110" s="109"/>
      <c r="D110" s="114"/>
      <c r="E110" s="158"/>
      <c r="F110" s="860">
        <v>-859</v>
      </c>
      <c r="G110" s="861" t="s">
        <v>1321</v>
      </c>
      <c r="H110" s="254"/>
    </row>
    <row r="111" spans="1:8" ht="19.5">
      <c r="A111" s="113"/>
      <c r="B111" s="114"/>
      <c r="C111" s="109"/>
      <c r="D111" s="114"/>
      <c r="E111" s="158"/>
      <c r="F111" s="860"/>
      <c r="G111" s="861"/>
      <c r="H111" s="254"/>
    </row>
    <row r="112" spans="1:8" ht="19.5">
      <c r="A112" s="113"/>
      <c r="B112" s="114"/>
      <c r="C112" s="109"/>
      <c r="D112" s="114"/>
      <c r="E112" s="158"/>
      <c r="F112" s="124"/>
      <c r="G112" s="109"/>
      <c r="H112" s="254"/>
    </row>
    <row r="113" spans="1:9" ht="19.5">
      <c r="A113" s="113">
        <f>+A109+1</f>
        <v>21</v>
      </c>
      <c r="B113" s="114"/>
      <c r="C113" s="109" t="s">
        <v>308</v>
      </c>
      <c r="D113" s="109"/>
      <c r="E113" s="262">
        <f>SUM(F114:F115)</f>
        <v>145213370</v>
      </c>
      <c r="F113" s="124"/>
      <c r="G113" s="109"/>
      <c r="H113" s="254"/>
    </row>
    <row r="114" spans="1:9" ht="19.5">
      <c r="A114" s="113"/>
      <c r="B114" s="114"/>
      <c r="C114" s="109"/>
      <c r="D114" s="109"/>
      <c r="E114" s="158"/>
      <c r="F114" s="860">
        <v>145213370</v>
      </c>
      <c r="G114" s="1550" t="s">
        <v>1320</v>
      </c>
      <c r="H114" s="254"/>
    </row>
    <row r="115" spans="1:9" ht="19.5">
      <c r="A115" s="113"/>
      <c r="B115" s="114"/>
      <c r="C115" s="109"/>
      <c r="D115" s="109"/>
      <c r="E115" s="158"/>
      <c r="F115" s="860"/>
      <c r="G115" s="861"/>
      <c r="H115" s="254"/>
    </row>
    <row r="116" spans="1:9" ht="19.5">
      <c r="A116" s="113">
        <f>+A113+1</f>
        <v>22</v>
      </c>
      <c r="B116" s="109"/>
      <c r="C116" s="131" t="s">
        <v>1251</v>
      </c>
      <c r="D116" s="124"/>
      <c r="E116" s="262">
        <f>SUM(F117:F117)</f>
        <v>0</v>
      </c>
      <c r="F116" s="259"/>
      <c r="G116" s="109"/>
      <c r="H116" s="254"/>
    </row>
    <row r="117" spans="1:9" ht="19.5">
      <c r="A117" s="113"/>
      <c r="B117" s="109"/>
      <c r="C117" s="131"/>
      <c r="D117" s="124"/>
      <c r="E117" s="158"/>
      <c r="F117" s="860"/>
      <c r="G117" s="1550"/>
    </row>
    <row r="118" spans="1:9" ht="19.5">
      <c r="A118" s="6"/>
      <c r="B118" s="109"/>
      <c r="C118" s="239"/>
      <c r="D118"/>
      <c r="E118"/>
      <c r="F118" s="238"/>
      <c r="G118" s="260"/>
    </row>
    <row r="119" spans="1:9" ht="20.25" thickBot="1">
      <c r="A119" s="232">
        <f>+A116+1</f>
        <v>23</v>
      </c>
      <c r="B119" s="239"/>
      <c r="C119" s="109" t="s">
        <v>311</v>
      </c>
      <c r="D119"/>
      <c r="E119" s="130">
        <f>E15+E25+E67+E69+E71+E85+E89+E99+E106+E109+E116+E113</f>
        <v>480442904</v>
      </c>
      <c r="F119" s="130">
        <f>SUM(F15:F117)</f>
        <v>480442904</v>
      </c>
      <c r="G119" s="109"/>
    </row>
    <row r="120" spans="1:9" ht="20.25" thickTop="1">
      <c r="A120" s="6"/>
      <c r="B120" s="239"/>
      <c r="C120" s="109" t="s">
        <v>381</v>
      </c>
      <c r="D120"/>
      <c r="E120"/>
      <c r="F120" s="259"/>
      <c r="G120" s="109"/>
      <c r="I120" s="1557"/>
    </row>
    <row r="121" spans="1:9" ht="21">
      <c r="A121" s="6"/>
      <c r="B121" s="239"/>
      <c r="C121" s="109"/>
      <c r="D121"/>
      <c r="E121" s="276"/>
      <c r="F121" s="159" t="s">
        <v>114</v>
      </c>
      <c r="G121" s="109"/>
      <c r="I121" s="1557"/>
    </row>
    <row r="122" spans="1:9" ht="20.25" customHeight="1">
      <c r="A122" s="1698" t="s">
        <v>758</v>
      </c>
      <c r="B122" s="1698"/>
      <c r="C122" s="1698"/>
      <c r="D122" s="1698"/>
      <c r="E122" s="1698"/>
      <c r="F122" s="1698"/>
      <c r="G122" s="1698"/>
    </row>
    <row r="123" spans="1:9" ht="20.25" customHeight="1">
      <c r="A123" s="1698"/>
      <c r="B123" s="1698"/>
      <c r="C123" s="1698"/>
      <c r="D123" s="1698"/>
      <c r="E123" s="1698"/>
      <c r="F123" s="1698"/>
      <c r="G123" s="1698"/>
    </row>
    <row r="124" spans="1:9" ht="20.25" customHeight="1">
      <c r="A124" s="1698"/>
      <c r="B124" s="1698"/>
      <c r="C124" s="1698"/>
      <c r="D124" s="1698"/>
      <c r="E124" s="1698"/>
      <c r="F124" s="1698"/>
      <c r="G124" s="1698"/>
    </row>
    <row r="125" spans="1:9" ht="20.25" customHeight="1">
      <c r="A125" s="1698"/>
      <c r="B125" s="1698"/>
      <c r="C125" s="1698"/>
      <c r="D125" s="1698"/>
      <c r="E125" s="1698"/>
      <c r="F125" s="1698"/>
      <c r="G125" s="1698"/>
    </row>
    <row r="126" spans="1:9" ht="20.25" customHeight="1">
      <c r="A126" s="1698"/>
      <c r="B126" s="1698"/>
      <c r="C126" s="1698"/>
      <c r="D126" s="1698"/>
      <c r="E126" s="1698"/>
      <c r="F126" s="1698"/>
      <c r="G126" s="1698"/>
    </row>
    <row r="127" spans="1:9" ht="20.25" customHeight="1">
      <c r="A127" s="1142"/>
      <c r="B127" s="1142"/>
      <c r="C127" s="1142"/>
      <c r="D127" s="1142"/>
      <c r="E127" s="1142"/>
      <c r="F127" s="1142"/>
      <c r="G127" s="1142"/>
    </row>
    <row r="128" spans="1:9" ht="30.75" customHeight="1">
      <c r="A128" s="1697" t="s">
        <v>860</v>
      </c>
      <c r="B128" s="1697"/>
      <c r="C128" s="1697"/>
      <c r="D128" s="1697"/>
      <c r="E128" s="1697"/>
      <c r="F128" s="1697"/>
      <c r="G128" s="1697"/>
    </row>
    <row r="129" spans="1:7" ht="30.75" customHeight="1">
      <c r="A129" s="1697"/>
      <c r="B129" s="1697"/>
      <c r="C129" s="1697"/>
      <c r="D129" s="1697"/>
      <c r="E129" s="1697"/>
      <c r="F129" s="1697"/>
      <c r="G129" s="1697"/>
    </row>
    <row r="130" spans="1:7" ht="19.5">
      <c r="B130" s="156"/>
      <c r="F130" s="124"/>
      <c r="G130" s="109"/>
    </row>
  </sheetData>
  <mergeCells count="7">
    <mergeCell ref="A128:G129"/>
    <mergeCell ref="A122:G126"/>
    <mergeCell ref="A7:F7"/>
    <mergeCell ref="A3:F3"/>
    <mergeCell ref="A4:F4"/>
    <mergeCell ref="A5:F5"/>
    <mergeCell ref="A6:F6"/>
  </mergeCells>
  <phoneticPr fontId="74" type="noConversion"/>
  <pageMargins left="0.82" right="1.28" top="0.68" bottom="0.37" header="0.5" footer="0.5"/>
  <pageSetup scale="28"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8" t="s">
        <v>114</v>
      </c>
    </row>
    <row r="2" spans="1:29" ht="15.75">
      <c r="A2" s="898" t="s">
        <v>114</v>
      </c>
    </row>
    <row r="3" spans="1:29" ht="18">
      <c r="A3" s="1700" t="s">
        <v>387</v>
      </c>
      <c r="B3" s="1700"/>
      <c r="C3" s="1700"/>
      <c r="D3" s="1700"/>
      <c r="E3" s="1700"/>
      <c r="F3" s="1700"/>
      <c r="G3" s="1700"/>
      <c r="H3" s="1700"/>
      <c r="I3" s="1700"/>
      <c r="J3" s="1700"/>
      <c r="K3" s="150"/>
      <c r="L3" s="150"/>
      <c r="M3" s="150"/>
    </row>
    <row r="4" spans="1:29" ht="18">
      <c r="A4" s="1699" t="str">
        <f>"Cost of Service Formula Rate Using "&amp;TCOS!L4&amp;" FF1 Balances"</f>
        <v>Cost of Service Formula Rate Using 2021 FF1 Balances</v>
      </c>
      <c r="B4" s="1699"/>
      <c r="C4" s="1699"/>
      <c r="D4" s="1699"/>
      <c r="E4" s="1699"/>
      <c r="F4" s="1699"/>
      <c r="G4" s="1699"/>
      <c r="H4" s="1699"/>
      <c r="I4" s="1699"/>
      <c r="J4" s="1699"/>
      <c r="K4" s="95"/>
      <c r="L4" s="95"/>
      <c r="M4" s="95"/>
    </row>
    <row r="5" spans="1:29" ht="18">
      <c r="A5" s="1699" t="s">
        <v>546</v>
      </c>
      <c r="B5" s="1699"/>
      <c r="C5" s="1699"/>
      <c r="D5" s="1699"/>
      <c r="E5" s="1699"/>
      <c r="F5" s="1699"/>
      <c r="G5" s="1699"/>
      <c r="H5" s="1699"/>
      <c r="I5" s="1699"/>
      <c r="J5" s="1699"/>
      <c r="K5" s="151"/>
      <c r="L5" s="151"/>
      <c r="M5" s="151"/>
    </row>
    <row r="6" spans="1:29" ht="18">
      <c r="A6" s="1694" t="str">
        <f>+TCOS!F9</f>
        <v>Ohio Power Company</v>
      </c>
      <c r="B6" s="1694"/>
      <c r="C6" s="1694"/>
      <c r="D6" s="1694"/>
      <c r="E6" s="1694"/>
      <c r="F6" s="1694"/>
      <c r="G6" s="1694"/>
      <c r="H6" s="1694"/>
      <c r="I6" s="1694"/>
      <c r="J6" s="1694"/>
      <c r="K6" s="160"/>
      <c r="L6" s="160"/>
      <c r="M6" s="160"/>
    </row>
    <row r="8" spans="1:29" ht="18">
      <c r="A8" s="166"/>
      <c r="B8" s="101"/>
      <c r="D8" s="103"/>
      <c r="E8" s="6"/>
      <c r="F8" s="105"/>
    </row>
    <row r="9" spans="1:29" ht="18">
      <c r="C9" s="7"/>
      <c r="D9" s="103"/>
      <c r="E9" s="6"/>
      <c r="F9" s="105"/>
      <c r="Q9" s="150"/>
      <c r="R9" s="150"/>
      <c r="S9" s="150"/>
      <c r="T9" s="150"/>
      <c r="U9" s="150"/>
      <c r="V9" s="150"/>
      <c r="W9" s="150"/>
      <c r="X9" s="150"/>
      <c r="Y9" s="150"/>
      <c r="Z9" s="150"/>
      <c r="AA9" s="150"/>
      <c r="AB9" s="150"/>
      <c r="AC9" s="150"/>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1"/>
    </row>
    <row r="18" spans="1:12" ht="18">
      <c r="A18" s="166"/>
      <c r="B18" s="19"/>
    </row>
    <row r="20" spans="1:12">
      <c r="A20" s="18"/>
      <c r="B20" s="18"/>
      <c r="C20" s="162"/>
      <c r="E20" s="162"/>
      <c r="F20" s="162"/>
      <c r="G20" s="162"/>
      <c r="H20" s="162"/>
      <c r="I20" s="162"/>
      <c r="J20" s="163"/>
    </row>
    <row r="22" spans="1:12">
      <c r="E22" s="164"/>
      <c r="F22" s="165"/>
      <c r="G22" s="165"/>
      <c r="I22" s="165"/>
      <c r="L22" s="301"/>
    </row>
    <row r="23" spans="1:12">
      <c r="E23" s="107"/>
      <c r="F23" s="165"/>
      <c r="G23" s="165"/>
      <c r="I23" s="165"/>
      <c r="L23" s="301"/>
    </row>
    <row r="24" spans="1:12">
      <c r="E24" s="107"/>
      <c r="F24" s="165"/>
      <c r="G24" s="165"/>
      <c r="I24" s="165"/>
      <c r="L24" s="301"/>
    </row>
    <row r="25" spans="1:12">
      <c r="E25" s="107"/>
      <c r="F25" s="165"/>
      <c r="G25" s="165"/>
      <c r="I25" s="165"/>
      <c r="L25" s="301"/>
    </row>
    <row r="26" spans="1:12">
      <c r="E26" s="107"/>
      <c r="F26" s="165"/>
      <c r="G26" s="165"/>
      <c r="I26" s="165"/>
      <c r="L26" s="301"/>
    </row>
    <row r="27" spans="1:12">
      <c r="E27" s="107"/>
      <c r="F27" s="165"/>
      <c r="G27" s="165"/>
      <c r="I27" s="165"/>
      <c r="L27" s="301"/>
    </row>
    <row r="28" spans="1:12">
      <c r="E28" s="107"/>
      <c r="F28" s="165"/>
      <c r="G28" s="165"/>
      <c r="I28" s="165"/>
      <c r="L28" s="301"/>
    </row>
    <row r="29" spans="1:12">
      <c r="E29" s="107"/>
      <c r="F29" s="165"/>
      <c r="G29" s="165"/>
      <c r="I29" s="165"/>
      <c r="L29" s="301"/>
    </row>
    <row r="30" spans="1:12">
      <c r="E30" s="107"/>
      <c r="F30" s="165"/>
      <c r="G30" s="165"/>
      <c r="I30" s="165"/>
      <c r="L30" s="301"/>
    </row>
    <row r="31" spans="1:12">
      <c r="E31" s="107"/>
      <c r="F31" s="165"/>
      <c r="G31" s="165"/>
      <c r="I31" s="165"/>
      <c r="L31" s="301"/>
    </row>
    <row r="32" spans="1:12">
      <c r="E32" s="107"/>
      <c r="F32" s="165"/>
      <c r="G32" s="165"/>
      <c r="I32" s="165"/>
      <c r="L32" s="301"/>
    </row>
    <row r="33" spans="1:12">
      <c r="E33" s="107"/>
      <c r="F33" s="165"/>
      <c r="G33" s="165"/>
      <c r="I33" s="165"/>
      <c r="L33" s="301"/>
    </row>
    <row r="35" spans="1:12">
      <c r="H35" s="97"/>
      <c r="I35" s="304"/>
    </row>
    <row r="37" spans="1:12" ht="18">
      <c r="A37" s="166"/>
      <c r="B37" s="19"/>
    </row>
    <row r="44" spans="1:12" ht="18">
      <c r="A44" s="166"/>
      <c r="B44" s="174"/>
      <c r="C44" s="167"/>
      <c r="E44" s="167"/>
      <c r="F44" s="167"/>
      <c r="G44" s="167"/>
      <c r="H44" s="167"/>
      <c r="I44" s="103"/>
    </row>
    <row r="45" spans="1:12">
      <c r="B45" s="168"/>
      <c r="C45" s="167"/>
      <c r="E45" s="167"/>
      <c r="F45" s="167"/>
      <c r="G45" s="167"/>
      <c r="H45" s="167"/>
      <c r="I45" s="103"/>
    </row>
    <row r="46" spans="1:12">
      <c r="B46" s="173"/>
      <c r="C46" s="167"/>
      <c r="E46" s="167"/>
      <c r="F46" s="167"/>
      <c r="G46" s="175"/>
      <c r="H46" s="175"/>
    </row>
    <row r="47" spans="1:12">
      <c r="B47" s="173"/>
      <c r="C47" s="169"/>
      <c r="E47" s="169"/>
      <c r="F47" s="169"/>
      <c r="G47" s="169"/>
    </row>
    <row r="48" spans="1:12">
      <c r="B48" s="171"/>
      <c r="F48" s="97"/>
      <c r="G48" s="209"/>
      <c r="H48" s="178"/>
      <c r="I48" s="172"/>
      <c r="J48" s="176"/>
    </row>
    <row r="49" spans="2:10">
      <c r="B49" s="171"/>
      <c r="F49" s="97"/>
      <c r="G49" s="170"/>
      <c r="H49" s="178"/>
      <c r="I49" s="172"/>
      <c r="J49" s="176"/>
    </row>
    <row r="50" spans="2:10">
      <c r="B50" s="173"/>
      <c r="G50" s="170"/>
      <c r="H50" s="178"/>
      <c r="I50" s="172"/>
      <c r="J50" s="176"/>
    </row>
    <row r="51" spans="2:10">
      <c r="B51" s="241"/>
      <c r="C51" s="242"/>
      <c r="D51" s="167"/>
      <c r="E51" s="167"/>
      <c r="F51" s="167"/>
      <c r="G51" s="305"/>
      <c r="H51" s="176"/>
      <c r="J51" s="176"/>
    </row>
    <row r="52" spans="2:10">
      <c r="F52" s="97"/>
      <c r="G52" s="209"/>
      <c r="J52" s="177"/>
    </row>
    <row r="55" spans="2:10">
      <c r="D55" s="177"/>
    </row>
    <row r="56" spans="2:10">
      <c r="D56" s="177"/>
      <c r="H56" s="103"/>
    </row>
    <row r="57" spans="2:10">
      <c r="D57" s="177"/>
      <c r="H57" s="167"/>
    </row>
    <row r="58" spans="2:10">
      <c r="D58" s="177"/>
    </row>
    <row r="59" spans="2:10">
      <c r="D59" s="177"/>
      <c r="H59" s="103"/>
    </row>
    <row r="60" spans="2:10">
      <c r="D60" s="177"/>
    </row>
    <row r="61" spans="2:10">
      <c r="D61" s="177"/>
    </row>
  </sheetData>
  <mergeCells count="4">
    <mergeCell ref="A4:J4"/>
    <mergeCell ref="A3:J3"/>
    <mergeCell ref="A6:J6"/>
    <mergeCell ref="A5:J5"/>
  </mergeCells>
  <phoneticPr fontId="0" type="noConversion"/>
  <pageMargins left="0.26" right="0.61" top="1" bottom="1" header="0.75" footer="0.5"/>
  <pageSetup scale="64"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2042"/>
  <sheetViews>
    <sheetView view="pageBreakPreview" topLeftCell="A710" zoomScale="85" zoomScaleNormal="100" zoomScaleSheetLayoutView="85" workbookViewId="0">
      <selection activeCell="D723" sqref="D723"/>
    </sheetView>
  </sheetViews>
  <sheetFormatPr defaultColWidth="8.85546875" defaultRowHeight="12.75"/>
  <cols>
    <col min="1" max="1" width="4.5703125" style="330" customWidth="1"/>
    <col min="2" max="2" width="6.5703125" style="412" customWidth="1"/>
    <col min="3" max="3" width="42" style="330" customWidth="1"/>
    <col min="4" max="4" width="17.5703125" style="424" customWidth="1"/>
    <col min="5" max="7" width="17.5703125" style="330" customWidth="1"/>
    <col min="8" max="8" width="17.5703125" style="589" customWidth="1"/>
    <col min="9" max="9" width="17.5703125" style="330" bestFit="1" customWidth="1"/>
    <col min="10" max="10" width="2.140625" style="314" customWidth="1"/>
    <col min="11" max="11" width="20.5703125" style="330" customWidth="1"/>
    <col min="12" max="14" width="17.5703125" style="330" customWidth="1"/>
    <col min="15" max="15" width="16.5703125" style="330" customWidth="1"/>
    <col min="16" max="16" width="2.140625" style="542" customWidth="1"/>
    <col min="17" max="16384" width="8.85546875" style="330"/>
  </cols>
  <sheetData>
    <row r="1" spans="1:16" ht="15.75">
      <c r="A1" s="898" t="s">
        <v>114</v>
      </c>
    </row>
    <row r="2" spans="1:16" ht="15.75">
      <c r="A2" s="898" t="s">
        <v>114</v>
      </c>
    </row>
    <row r="3" spans="1:16" ht="15">
      <c r="A3" s="1687" t="s">
        <v>387</v>
      </c>
      <c r="B3" s="1687"/>
      <c r="C3" s="1687"/>
      <c r="D3" s="1687"/>
      <c r="E3" s="1687"/>
      <c r="F3" s="1687"/>
      <c r="G3" s="1687"/>
      <c r="H3" s="1687"/>
      <c r="I3" s="1687"/>
      <c r="J3" s="1687"/>
      <c r="K3" s="1687"/>
      <c r="L3" s="1687"/>
      <c r="M3" s="1687"/>
      <c r="N3" s="1687"/>
      <c r="O3" s="1687"/>
      <c r="P3" s="588"/>
    </row>
    <row r="4" spans="1:16" ht="15">
      <c r="A4" s="1688" t="str">
        <f>"Cost of Service Formula Rate Using "&amp;TCOS!L4&amp;" FF1 Balances"</f>
        <v>Cost of Service Formula Rate Using 2021 FF1 Balances</v>
      </c>
      <c r="B4" s="1688"/>
      <c r="C4" s="1688"/>
      <c r="D4" s="1688"/>
      <c r="E4" s="1688"/>
      <c r="F4" s="1688"/>
      <c r="G4" s="1688"/>
      <c r="H4" s="1688"/>
      <c r="I4" s="1688"/>
      <c r="J4" s="1688"/>
      <c r="K4" s="1688"/>
      <c r="L4" s="1688"/>
      <c r="M4" s="1688"/>
      <c r="N4" s="1688"/>
      <c r="O4" s="1688"/>
      <c r="P4" s="588"/>
    </row>
    <row r="5" spans="1:16" ht="15">
      <c r="A5" s="1688" t="s">
        <v>468</v>
      </c>
      <c r="B5" s="1688"/>
      <c r="C5" s="1688"/>
      <c r="D5" s="1688"/>
      <c r="E5" s="1688"/>
      <c r="F5" s="1688"/>
      <c r="G5" s="1688"/>
      <c r="H5" s="1688"/>
      <c r="I5" s="1688"/>
      <c r="J5" s="1688"/>
      <c r="K5" s="1688"/>
      <c r="L5" s="1688"/>
      <c r="M5" s="1688"/>
      <c r="N5" s="1688"/>
      <c r="O5" s="1688"/>
      <c r="P5" s="588"/>
    </row>
    <row r="6" spans="1:16" ht="15">
      <c r="A6" s="1689" t="str">
        <f>TCOS!F9</f>
        <v>Ohio Power Company</v>
      </c>
      <c r="B6" s="1689"/>
      <c r="C6" s="1689"/>
      <c r="D6" s="1689"/>
      <c r="E6" s="1689"/>
      <c r="F6" s="1689"/>
      <c r="G6" s="1689"/>
      <c r="H6" s="1689"/>
      <c r="I6" s="1689"/>
      <c r="J6" s="1689"/>
      <c r="K6" s="1689"/>
      <c r="L6" s="1689"/>
      <c r="M6" s="1689"/>
      <c r="N6" s="1689"/>
      <c r="O6" s="1689"/>
      <c r="P6" s="588"/>
    </row>
    <row r="7" spans="1:16">
      <c r="P7" s="588"/>
    </row>
    <row r="8" spans="1:16" ht="20.25">
      <c r="A8" s="590"/>
      <c r="C8" s="412"/>
      <c r="N8" s="591" t="str">
        <f>"Page "&amp;P8&amp;" of "</f>
        <v xml:space="preserve">Page 1 of </v>
      </c>
      <c r="O8" s="592">
        <f>COUNT(P$8:P$57834)</f>
        <v>22</v>
      </c>
      <c r="P8" s="593">
        <v>1</v>
      </c>
    </row>
    <row r="9" spans="1:16" ht="18">
      <c r="C9" s="594"/>
      <c r="P9" s="588"/>
    </row>
    <row r="10" spans="1:16">
      <c r="P10" s="588"/>
    </row>
    <row r="11" spans="1:16" ht="18">
      <c r="B11" s="595" t="s">
        <v>171</v>
      </c>
      <c r="C11" s="1714" t="str">
        <f>"Calculate Return and Income Taxes with "&amp;F17&amp;" basis point ROE increase for Projects Qualified for Regional Billing."</f>
        <v>Calculate Return and Income Taxes with  basis point ROE increase for Projects Qualified for Regional Billing.</v>
      </c>
      <c r="D11" s="1715"/>
      <c r="E11" s="1715"/>
      <c r="F11" s="1715"/>
      <c r="G11" s="1715"/>
      <c r="H11" s="1715"/>
      <c r="P11" s="588"/>
    </row>
    <row r="12" spans="1:16" ht="18.75" customHeight="1">
      <c r="C12" s="1715"/>
      <c r="D12" s="1715"/>
      <c r="E12" s="1715"/>
      <c r="F12" s="1715"/>
      <c r="G12" s="1715"/>
      <c r="H12" s="1715"/>
      <c r="P12" s="588"/>
    </row>
    <row r="13" spans="1:16" ht="15.75" customHeight="1">
      <c r="C13" s="529"/>
      <c r="D13" s="529"/>
      <c r="E13" s="529"/>
      <c r="F13" s="529"/>
      <c r="G13" s="529"/>
      <c r="H13" s="529"/>
      <c r="P13" s="588"/>
    </row>
    <row r="14" spans="1:16" ht="15.75">
      <c r="C14" s="596" t="str">
        <f>"A.   Determine 'R' with hypothetical "&amp;F17&amp;" basis point increase in ROE for Identified Projects"</f>
        <v>A.   Determine 'R' with hypothetical  basis point increase in ROE for Identified Projects</v>
      </c>
      <c r="P14" s="588"/>
    </row>
    <row r="15" spans="1:16">
      <c r="C15" s="412"/>
      <c r="P15" s="588"/>
    </row>
    <row r="16" spans="1:16">
      <c r="C16" s="597" t="str">
        <f>"   ROE w/o incentives  (TCOS, ln "&amp;TCOS!B257&amp;")"</f>
        <v xml:space="preserve">   ROE w/o incentives  (TCOS, ln 156)</v>
      </c>
      <c r="E16" s="598"/>
      <c r="F16" s="599">
        <f>TCOS!J257</f>
        <v>0.10349999999999999</v>
      </c>
      <c r="G16" s="598"/>
      <c r="H16" s="600"/>
      <c r="I16" s="600"/>
      <c r="J16" s="601"/>
      <c r="K16" s="600"/>
      <c r="L16" s="600"/>
      <c r="M16" s="600"/>
      <c r="N16" s="600"/>
      <c r="O16" s="600"/>
      <c r="P16" s="601"/>
    </row>
    <row r="17" spans="3:16">
      <c r="C17" s="597" t="s">
        <v>252</v>
      </c>
      <c r="E17" s="598"/>
      <c r="F17" s="862"/>
      <c r="G17" s="602"/>
      <c r="H17" s="600"/>
      <c r="I17" s="600"/>
      <c r="J17" s="601"/>
    </row>
    <row r="18" spans="3:16">
      <c r="C18" s="597" t="str">
        <f>"   ROE with additional "&amp;F17&amp;" basis point incentive"</f>
        <v xml:space="preserve">   ROE with additional  basis point incentive</v>
      </c>
      <c r="D18" s="598"/>
      <c r="E18" s="598"/>
      <c r="F18" s="603">
        <f>IF((F16+(F17/10000)&gt;0.1274),"ERROR",F16+(F17/10000))</f>
        <v>0.10349999999999999</v>
      </c>
      <c r="G18" s="604"/>
      <c r="H18" s="600"/>
      <c r="I18" s="600"/>
      <c r="J18" s="601"/>
    </row>
    <row r="19" spans="3:16">
      <c r="C19" s="59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8"/>
      <c r="F19" s="605"/>
      <c r="G19" s="598"/>
      <c r="H19" s="600"/>
      <c r="I19" s="600"/>
      <c r="J19" s="601"/>
    </row>
    <row r="20" spans="3:16">
      <c r="C20" s="601"/>
      <c r="D20" s="606" t="s">
        <v>146</v>
      </c>
      <c r="E20" s="606" t="s">
        <v>145</v>
      </c>
      <c r="F20" s="607" t="s">
        <v>253</v>
      </c>
      <c r="G20" s="598"/>
      <c r="H20" s="600"/>
      <c r="I20" s="600"/>
      <c r="J20" s="601"/>
    </row>
    <row r="21" spans="3:16" ht="13.5" thickBot="1">
      <c r="C21" s="608" t="s">
        <v>257</v>
      </c>
      <c r="D21" s="609">
        <f>TCOS!I255</f>
        <v>0.51428850159486705</v>
      </c>
      <c r="E21" s="610">
        <f>TCOS!J255</f>
        <v>4.3293695611723727E-2</v>
      </c>
      <c r="F21" s="611">
        <f>E21*D21</f>
        <v>2.2265449844657666E-2</v>
      </c>
      <c r="G21" s="598"/>
      <c r="H21" s="600"/>
      <c r="I21" s="612"/>
      <c r="J21" s="613"/>
      <c r="K21" s="537"/>
      <c r="L21" s="537"/>
      <c r="M21" s="537"/>
      <c r="N21" s="537"/>
      <c r="O21" s="537"/>
    </row>
    <row r="22" spans="3:16">
      <c r="C22" s="608" t="s">
        <v>258</v>
      </c>
      <c r="D22" s="609">
        <f>TCOS!I256</f>
        <v>0</v>
      </c>
      <c r="E22" s="610">
        <f>TCOS!J256</f>
        <v>0</v>
      </c>
      <c r="F22" s="611">
        <f>E22*D22</f>
        <v>0</v>
      </c>
      <c r="G22" s="614"/>
      <c r="H22" s="614"/>
      <c r="I22" s="615"/>
      <c r="J22" s="616"/>
      <c r="K22" s="1705" t="s">
        <v>451</v>
      </c>
      <c r="L22" s="1706"/>
      <c r="M22" s="1706"/>
      <c r="N22" s="1706"/>
      <c r="O22" s="1707"/>
      <c r="P22" s="616"/>
    </row>
    <row r="23" spans="3:16">
      <c r="C23" s="617" t="s">
        <v>244</v>
      </c>
      <c r="D23" s="609">
        <f>TCOS!I257</f>
        <v>0.48571149840513289</v>
      </c>
      <c r="E23" s="610">
        <f>+F18</f>
        <v>0.10349999999999999</v>
      </c>
      <c r="F23" s="618">
        <f>E23*D23</f>
        <v>5.0271140084931248E-2</v>
      </c>
      <c r="G23" s="614"/>
      <c r="H23" s="614"/>
      <c r="I23" s="615"/>
      <c r="J23" s="616"/>
      <c r="K23" s="1708"/>
      <c r="L23" s="1709"/>
      <c r="M23" s="1709"/>
      <c r="N23" s="1709"/>
      <c r="O23" s="1710"/>
      <c r="P23" s="616"/>
    </row>
    <row r="24" spans="3:16">
      <c r="C24" s="619"/>
      <c r="D24" s="330"/>
      <c r="E24" s="620" t="s">
        <v>260</v>
      </c>
      <c r="F24" s="611">
        <f>SUM(F21:F23)</f>
        <v>7.2536589929588918E-2</v>
      </c>
      <c r="G24" s="614"/>
      <c r="H24" s="614"/>
      <c r="I24" s="615"/>
      <c r="J24" s="616"/>
      <c r="K24" s="621"/>
      <c r="L24" s="622"/>
      <c r="M24" s="623" t="s">
        <v>254</v>
      </c>
      <c r="N24" s="623" t="s">
        <v>255</v>
      </c>
      <c r="O24" s="624" t="s">
        <v>256</v>
      </c>
      <c r="P24" s="616"/>
    </row>
    <row r="25" spans="3:16">
      <c r="C25" s="542"/>
      <c r="D25" s="625"/>
      <c r="E25" s="625"/>
      <c r="F25" s="614"/>
      <c r="G25" s="614"/>
      <c r="H25" s="614"/>
      <c r="I25" s="614"/>
      <c r="J25" s="626"/>
      <c r="K25" s="627"/>
      <c r="L25" s="628"/>
      <c r="M25" s="628"/>
      <c r="N25" s="628"/>
      <c r="O25" s="629"/>
      <c r="P25" s="626"/>
    </row>
    <row r="26" spans="3:16" ht="16.5" thickBot="1">
      <c r="C26" s="596" t="str">
        <f>"B.   Determine Return using 'R' with hypothetical "&amp;F17&amp;" basis point ROE increase for Identified Projects."</f>
        <v>B.   Determine Return using 'R' with hypothetical  basis point ROE increase for Identified Projects.</v>
      </c>
      <c r="D26" s="625"/>
      <c r="E26" s="625"/>
      <c r="F26" s="630"/>
      <c r="G26" s="614"/>
      <c r="H26" s="598"/>
      <c r="I26" s="614"/>
      <c r="J26" s="626"/>
      <c r="K26" s="631" t="s">
        <v>261</v>
      </c>
      <c r="L26" s="632">
        <f>TCOS!L4</f>
        <v>2021</v>
      </c>
      <c r="M26" s="863">
        <f>N87+N177+N267+N357+N446+N535+N624+N713+N802+N891+N980+N1069+N1158+N1247+N1336+N1425+N1514+N1603+N1692+N1782+N1871+N1960</f>
        <v>9651864.2456894517</v>
      </c>
      <c r="N26" s="863">
        <f>N88+N178+N268+N358+N447+N536+N625+N714+N803+N892+N981+N1070+N1159+N1248+N1337+N1426+N1515+N1604+N1693+N1783+N1872+N1961</f>
        <v>9651864.2456894517</v>
      </c>
      <c r="O26" s="633">
        <f>+N26-M26</f>
        <v>0</v>
      </c>
      <c r="P26" s="626"/>
    </row>
    <row r="27" spans="3:16">
      <c r="C27" s="601"/>
      <c r="D27" s="625"/>
      <c r="E27" s="625"/>
      <c r="F27" s="626"/>
      <c r="G27" s="626"/>
      <c r="H27" s="626"/>
      <c r="I27" s="626"/>
      <c r="J27" s="626"/>
      <c r="K27" s="634"/>
      <c r="L27" s="634"/>
      <c r="M27" s="634"/>
      <c r="N27" s="634"/>
      <c r="O27" s="634"/>
      <c r="P27" s="626"/>
    </row>
    <row r="28" spans="3:16">
      <c r="C28" s="635" t="str">
        <f>"   Rate Base  (TCOS, ln "&amp;TCOS!B125&amp;")"</f>
        <v xml:space="preserve">   Rate Base  (TCOS, ln 68)</v>
      </c>
      <c r="D28" s="598"/>
      <c r="F28" s="636">
        <f>TCOS!L125</f>
        <v>1679363592.0516403</v>
      </c>
      <c r="G28" s="626"/>
      <c r="H28" s="626"/>
      <c r="I28" s="626"/>
      <c r="J28" s="626"/>
      <c r="K28" s="634"/>
      <c r="L28" s="634"/>
      <c r="M28" s="634"/>
      <c r="N28" s="634"/>
      <c r="O28" s="637"/>
      <c r="P28" s="626"/>
    </row>
    <row r="29" spans="3:16">
      <c r="C29" s="601" t="s">
        <v>474</v>
      </c>
      <c r="D29" s="638"/>
      <c r="F29" s="611">
        <f>F24</f>
        <v>7.2536589929588918E-2</v>
      </c>
      <c r="G29" s="626"/>
      <c r="H29" s="626"/>
      <c r="I29" s="626"/>
      <c r="J29" s="626"/>
      <c r="K29" s="626"/>
      <c r="L29" s="626"/>
      <c r="M29" s="626"/>
      <c r="N29" s="626"/>
      <c r="O29" s="626"/>
      <c r="P29" s="626"/>
    </row>
    <row r="30" spans="3:16">
      <c r="C30" s="639" t="s">
        <v>262</v>
      </c>
      <c r="D30" s="639"/>
      <c r="F30" s="615">
        <f>F28*F29</f>
        <v>121815308.21933128</v>
      </c>
      <c r="G30" s="626"/>
      <c r="H30" s="626"/>
      <c r="I30" s="616"/>
      <c r="J30" s="616"/>
      <c r="K30" s="616"/>
      <c r="L30" s="616"/>
      <c r="M30" s="616"/>
      <c r="N30" s="616"/>
      <c r="O30" s="626"/>
      <c r="P30" s="616"/>
    </row>
    <row r="31" spans="3:16">
      <c r="C31" s="640"/>
      <c r="D31" s="600"/>
      <c r="E31" s="600"/>
      <c r="F31" s="626"/>
      <c r="G31" s="626"/>
      <c r="H31" s="626"/>
      <c r="I31" s="616"/>
      <c r="J31" s="616"/>
      <c r="K31" s="616"/>
      <c r="L31" s="616"/>
      <c r="M31" s="616"/>
      <c r="N31" s="616"/>
      <c r="O31" s="626"/>
      <c r="P31" s="616"/>
    </row>
    <row r="32" spans="3:16" ht="15.75">
      <c r="C32" s="596" t="str">
        <f>"C.   Determine Income Taxes using Return with hypothetical "&amp;F17&amp;" basis point ROE increase for Identified Projects."</f>
        <v>C.   Determine Income Taxes using Return with hypothetical  basis point ROE increase for Identified Projects.</v>
      </c>
      <c r="D32" s="641"/>
      <c r="E32" s="641"/>
      <c r="F32" s="642"/>
      <c r="G32" s="642"/>
      <c r="H32" s="642"/>
      <c r="I32" s="643"/>
      <c r="J32" s="643"/>
      <c r="K32" s="643"/>
      <c r="L32" s="643"/>
      <c r="M32" s="643"/>
      <c r="N32" s="643"/>
      <c r="O32" s="642"/>
      <c r="P32" s="643"/>
    </row>
    <row r="33" spans="2:16">
      <c r="C33" s="619"/>
      <c r="D33" s="600"/>
      <c r="E33" s="600"/>
      <c r="F33" s="626"/>
      <c r="G33" s="626"/>
      <c r="H33" s="626"/>
      <c r="I33" s="616"/>
      <c r="J33" s="616"/>
      <c r="K33" s="616"/>
      <c r="L33" s="616"/>
      <c r="M33" s="616"/>
      <c r="N33" s="616"/>
      <c r="O33" s="626"/>
      <c r="P33" s="616"/>
    </row>
    <row r="34" spans="2:16">
      <c r="C34" s="601" t="s">
        <v>263</v>
      </c>
      <c r="D34" s="620"/>
      <c r="F34" s="644">
        <f>F30</f>
        <v>121815308.21933128</v>
      </c>
      <c r="G34" s="626"/>
      <c r="H34" s="626"/>
      <c r="I34" s="626"/>
      <c r="J34" s="626"/>
      <c r="K34" s="626"/>
      <c r="L34" s="626"/>
      <c r="M34" s="626"/>
      <c r="N34" s="626"/>
      <c r="O34" s="626"/>
      <c r="P34" s="626"/>
    </row>
    <row r="35" spans="2:16">
      <c r="C35" s="635" t="str">
        <f>"   Effective Tax Rate  (TCOS, ln "&amp;TCOS!B190&amp;")"</f>
        <v xml:space="preserve">   Effective Tax Rate  (TCOS, ln 114)</v>
      </c>
      <c r="D35" s="563"/>
      <c r="F35" s="645">
        <f>TCOS!G190</f>
        <v>0.19515114964280481</v>
      </c>
      <c r="G35" s="542"/>
      <c r="H35" s="646"/>
      <c r="I35" s="542"/>
      <c r="J35" s="588"/>
      <c r="K35" s="542"/>
      <c r="L35" s="542"/>
      <c r="M35" s="542"/>
      <c r="N35" s="542"/>
      <c r="O35" s="542"/>
      <c r="P35" s="588"/>
    </row>
    <row r="36" spans="2:16">
      <c r="C36" s="640" t="s">
        <v>264</v>
      </c>
      <c r="D36" s="563"/>
      <c r="F36" s="647">
        <f>F34*F35</f>
        <v>23772397.44309511</v>
      </c>
      <c r="G36" s="542"/>
      <c r="H36" s="646"/>
      <c r="I36" s="542"/>
      <c r="J36" s="588"/>
      <c r="K36" s="542"/>
      <c r="L36" s="542"/>
      <c r="M36" s="542"/>
      <c r="N36" s="542"/>
      <c r="O36" s="542"/>
      <c r="P36" s="588"/>
    </row>
    <row r="37" spans="2:16" ht="15">
      <c r="C37" s="619" t="s">
        <v>302</v>
      </c>
      <c r="D37" s="476"/>
      <c r="F37" s="648">
        <f>TCOS!L199</f>
        <v>0</v>
      </c>
      <c r="G37" s="476"/>
      <c r="H37" s="476"/>
      <c r="I37" s="476"/>
      <c r="J37" s="476"/>
      <c r="K37" s="476"/>
      <c r="L37" s="476"/>
      <c r="M37" s="476"/>
      <c r="N37" s="476"/>
      <c r="O37" s="388"/>
      <c r="P37" s="476"/>
    </row>
    <row r="38" spans="2:16" ht="15">
      <c r="C38" s="619" t="s">
        <v>532</v>
      </c>
      <c r="D38" s="476"/>
      <c r="F38" s="648">
        <f>TCOS!L200</f>
        <v>-9948591.9091052748</v>
      </c>
      <c r="G38" s="476"/>
      <c r="H38" s="476"/>
      <c r="I38" s="476"/>
      <c r="J38" s="476"/>
      <c r="K38" s="476"/>
      <c r="L38" s="476"/>
      <c r="M38" s="476"/>
      <c r="N38" s="476"/>
      <c r="O38" s="388"/>
      <c r="P38" s="476"/>
    </row>
    <row r="39" spans="2:16" ht="15">
      <c r="C39" s="619" t="s">
        <v>533</v>
      </c>
      <c r="D39" s="476"/>
      <c r="F39" s="649">
        <f>TCOS!L201</f>
        <v>1174989.2048891592</v>
      </c>
      <c r="G39" s="476"/>
      <c r="H39" s="476"/>
      <c r="I39" s="476"/>
      <c r="J39" s="476"/>
      <c r="K39" s="476"/>
      <c r="L39" s="476"/>
      <c r="M39" s="476"/>
      <c r="N39" s="476"/>
      <c r="O39" s="388"/>
      <c r="P39" s="476"/>
    </row>
    <row r="40" spans="2:16" ht="15">
      <c r="C40" s="640" t="s">
        <v>265</v>
      </c>
      <c r="D40" s="476"/>
      <c r="F40" s="648">
        <f>F36+F37+F38+F39</f>
        <v>14998794.738878995</v>
      </c>
      <c r="G40" s="476"/>
      <c r="H40" s="476"/>
      <c r="I40" s="476"/>
      <c r="J40" s="476"/>
      <c r="K40" s="476"/>
      <c r="L40" s="476"/>
      <c r="M40" s="476"/>
      <c r="N40" s="476"/>
      <c r="O40" s="346"/>
      <c r="P40" s="476"/>
    </row>
    <row r="41" spans="2:16" ht="12.75" customHeight="1">
      <c r="C41" s="396"/>
      <c r="D41" s="476"/>
      <c r="E41" s="476"/>
      <c r="F41" s="476"/>
      <c r="G41" s="476"/>
      <c r="H41" s="476"/>
      <c r="I41" s="476"/>
      <c r="J41" s="476"/>
      <c r="K41" s="476"/>
      <c r="L41" s="476"/>
      <c r="M41" s="476"/>
      <c r="N41" s="476"/>
      <c r="O41" s="346"/>
      <c r="P41" s="476"/>
    </row>
    <row r="42" spans="2:16" ht="18.75">
      <c r="B42" s="595" t="s">
        <v>172</v>
      </c>
      <c r="C42" s="594" t="str">
        <f>"Calculate Net Plant Carrying Charge Rate (Fixed Charge Rate or FCR) with hypothetical "&amp;F17&amp;""</f>
        <v xml:space="preserve">Calculate Net Plant Carrying Charge Rate (Fixed Charge Rate or FCR) with hypothetical </v>
      </c>
      <c r="D42" s="476"/>
      <c r="E42" s="476"/>
      <c r="F42" s="476"/>
      <c r="G42" s="476"/>
      <c r="H42" s="476"/>
      <c r="I42" s="476"/>
      <c r="J42" s="476"/>
      <c r="K42" s="476"/>
      <c r="L42" s="476"/>
      <c r="M42" s="476"/>
      <c r="N42" s="476"/>
      <c r="O42" s="346"/>
      <c r="P42" s="476"/>
    </row>
    <row r="43" spans="2:16" ht="18.75" customHeight="1">
      <c r="C43" s="594" t="str">
        <f>"basis point ROE increase."</f>
        <v>basis point ROE increase.</v>
      </c>
      <c r="D43" s="476"/>
      <c r="E43" s="476"/>
      <c r="F43" s="476"/>
      <c r="G43" s="476"/>
      <c r="H43" s="476"/>
      <c r="I43" s="476"/>
      <c r="J43" s="476"/>
      <c r="K43" s="476"/>
      <c r="L43" s="476"/>
      <c r="M43" s="476"/>
      <c r="N43" s="476"/>
      <c r="O43" s="346"/>
      <c r="P43" s="476"/>
    </row>
    <row r="44" spans="2:16" ht="12.75" customHeight="1">
      <c r="C44" s="594"/>
      <c r="D44" s="476"/>
      <c r="E44" s="476"/>
      <c r="F44" s="476"/>
      <c r="G44" s="476"/>
      <c r="H44" s="476"/>
      <c r="I44" s="476"/>
      <c r="J44" s="476"/>
      <c r="K44" s="476"/>
      <c r="L44" s="476"/>
      <c r="M44" s="476"/>
      <c r="N44" s="476"/>
      <c r="O44" s="346"/>
      <c r="P44" s="476"/>
    </row>
    <row r="45" spans="2:16" ht="15.75">
      <c r="C45" s="596" t="s">
        <v>465</v>
      </c>
      <c r="D45" s="476"/>
      <c r="E45" s="476"/>
      <c r="F45" s="475"/>
      <c r="G45" s="476"/>
      <c r="H45" s="476"/>
      <c r="I45" s="476"/>
      <c r="J45" s="476"/>
      <c r="K45" s="476"/>
      <c r="L45" s="476"/>
      <c r="M45" s="476"/>
      <c r="N45" s="476"/>
      <c r="O45" s="346"/>
      <c r="P45" s="476"/>
    </row>
    <row r="46" spans="2:16">
      <c r="B46" s="576"/>
      <c r="C46" s="597"/>
      <c r="D46" s="650"/>
      <c r="E46" s="650"/>
      <c r="F46" s="650"/>
      <c r="G46" s="650"/>
      <c r="H46" s="650"/>
      <c r="I46" s="650"/>
      <c r="J46" s="650"/>
      <c r="K46" s="650"/>
      <c r="L46" s="650"/>
      <c r="M46" s="650"/>
      <c r="N46" s="650"/>
      <c r="O46" s="648"/>
      <c r="P46" s="650"/>
    </row>
    <row r="47" spans="2:16" ht="12.75" customHeight="1">
      <c r="B47" s="576"/>
      <c r="C47" s="635" t="str">
        <f>"   Annual Revenue Requirement  (TCOS, ln "&amp;TCOS!B13&amp;")"</f>
        <v xml:space="preserve">   Annual Revenue Requirement  (TCOS, ln 1)</v>
      </c>
      <c r="D47" s="650"/>
      <c r="E47" s="650"/>
      <c r="G47" s="648">
        <f>TCOS!L13</f>
        <v>376991605.33779609</v>
      </c>
      <c r="H47" s="650"/>
      <c r="I47" s="650"/>
      <c r="J47" s="650"/>
      <c r="K47" s="650"/>
      <c r="L47" s="650"/>
      <c r="M47" s="650"/>
      <c r="N47" s="650"/>
      <c r="O47" s="648"/>
      <c r="P47" s="650"/>
    </row>
    <row r="48" spans="2:16" ht="12.75" customHeight="1">
      <c r="B48" s="576"/>
      <c r="C48" s="635" t="str">
        <f>"   Lease Payments (TCOS, Ln "&amp;TCOS!B168&amp;")"</f>
        <v xml:space="preserve">   Lease Payments (TCOS, Ln 95)</v>
      </c>
      <c r="D48" s="650"/>
      <c r="E48" s="650"/>
      <c r="G48" s="648">
        <f>TCOS!L168</f>
        <v>2728223</v>
      </c>
      <c r="H48" s="650"/>
      <c r="I48" s="650"/>
      <c r="J48" s="650"/>
      <c r="K48" s="650"/>
      <c r="L48" s="650"/>
      <c r="M48" s="650"/>
      <c r="N48" s="650"/>
      <c r="O48" s="648"/>
      <c r="P48" s="650"/>
    </row>
    <row r="49" spans="2:16">
      <c r="B49" s="576"/>
      <c r="C49" s="635" t="str">
        <f>"   Return  (TCOS, ln "&amp;TCOS!B205&amp;")"</f>
        <v xml:space="preserve">   Return  (TCOS, ln 126)</v>
      </c>
      <c r="D49" s="650"/>
      <c r="E49" s="650"/>
      <c r="G49" s="651">
        <f>TCOS!L205</f>
        <v>121815308.21933128</v>
      </c>
      <c r="H49" s="652"/>
      <c r="I49" s="652"/>
      <c r="J49" s="652"/>
      <c r="K49" s="652"/>
      <c r="L49" s="652"/>
      <c r="M49" s="652"/>
      <c r="N49" s="652"/>
      <c r="O49" s="648"/>
      <c r="P49" s="652"/>
    </row>
    <row r="50" spans="2:16">
      <c r="B50" s="576"/>
      <c r="C50" s="635" t="str">
        <f>"   Income Taxes  (TCOS, ln "&amp;TCOS!B203&amp;")"</f>
        <v xml:space="preserve">   Income Taxes  (TCOS, ln 125)</v>
      </c>
      <c r="D50" s="650"/>
      <c r="E50" s="650"/>
      <c r="G50" s="653">
        <f>TCOS!L203</f>
        <v>14998794.738878995</v>
      </c>
      <c r="H50" s="650"/>
      <c r="I50" s="654"/>
      <c r="J50" s="654"/>
      <c r="K50" s="654"/>
      <c r="L50" s="654"/>
      <c r="M50" s="654"/>
      <c r="N50" s="654"/>
      <c r="O50" s="650"/>
      <c r="P50" s="654"/>
    </row>
    <row r="51" spans="2:16">
      <c r="B51" s="576"/>
      <c r="C51" s="655" t="s">
        <v>589</v>
      </c>
      <c r="D51" s="650"/>
      <c r="E51" s="650"/>
      <c r="G51" s="651">
        <f>G47-G49-G50-G48</f>
        <v>237449279.37958583</v>
      </c>
      <c r="H51" s="650"/>
      <c r="I51" s="656"/>
      <c r="J51" s="656"/>
      <c r="K51" s="656"/>
      <c r="L51" s="656"/>
      <c r="M51" s="656"/>
      <c r="N51" s="656"/>
      <c r="O51" s="656"/>
      <c r="P51" s="656"/>
    </row>
    <row r="52" spans="2:16">
      <c r="B52" s="576"/>
      <c r="C52" s="597"/>
      <c r="D52" s="650"/>
      <c r="E52" s="650"/>
      <c r="F52" s="648"/>
      <c r="G52" s="657"/>
      <c r="H52" s="658"/>
      <c r="I52" s="658"/>
      <c r="J52" s="658"/>
      <c r="K52" s="658"/>
      <c r="L52" s="658"/>
      <c r="M52" s="658"/>
      <c r="N52" s="658"/>
      <c r="O52" s="658"/>
      <c r="P52" s="658"/>
    </row>
    <row r="53" spans="2:16" ht="15.75">
      <c r="B53" s="576"/>
      <c r="C53" s="596" t="str">
        <f>"B.   Determine Annual Revenue Requirement with hypothetical "&amp;F17&amp;" basis point increase in ROE."</f>
        <v>B.   Determine Annual Revenue Requirement with hypothetical  basis point increase in ROE.</v>
      </c>
      <c r="D53" s="659"/>
      <c r="E53" s="659"/>
      <c r="F53" s="648"/>
      <c r="G53" s="657"/>
      <c r="H53" s="658"/>
      <c r="I53" s="658"/>
      <c r="J53" s="658"/>
      <c r="K53" s="658"/>
      <c r="L53" s="658"/>
      <c r="M53" s="658"/>
      <c r="N53" s="658"/>
      <c r="O53" s="658"/>
      <c r="P53" s="658"/>
    </row>
    <row r="54" spans="2:16">
      <c r="B54" s="576"/>
      <c r="C54" s="597"/>
      <c r="D54" s="659"/>
      <c r="E54" s="659"/>
      <c r="F54" s="648"/>
      <c r="G54" s="657"/>
      <c r="H54" s="658"/>
      <c r="I54" s="658"/>
      <c r="J54" s="658"/>
      <c r="K54" s="658"/>
      <c r="L54" s="658"/>
      <c r="M54" s="658"/>
      <c r="N54" s="658"/>
      <c r="O54" s="658"/>
      <c r="P54" s="658"/>
    </row>
    <row r="55" spans="2:16">
      <c r="B55" s="576"/>
      <c r="C55" s="597" t="str">
        <f>C51</f>
        <v xml:space="preserve">   Annual Revenue Requirement, Less Lease Payments, Return and Taxes</v>
      </c>
      <c r="D55" s="659"/>
      <c r="E55" s="659"/>
      <c r="G55" s="648">
        <f>G51</f>
        <v>237449279.37958583</v>
      </c>
      <c r="H55" s="650"/>
      <c r="I55" s="650"/>
      <c r="J55" s="650"/>
      <c r="K55" s="650"/>
      <c r="L55" s="650"/>
      <c r="M55" s="650"/>
      <c r="N55" s="650"/>
      <c r="O55" s="660"/>
      <c r="P55" s="650"/>
    </row>
    <row r="56" spans="2:16">
      <c r="B56" s="576"/>
      <c r="C56" s="601" t="s">
        <v>299</v>
      </c>
      <c r="D56" s="661"/>
      <c r="E56" s="655"/>
      <c r="G56" s="662">
        <f>F30</f>
        <v>121815308.21933128</v>
      </c>
      <c r="H56" s="663"/>
      <c r="I56" s="655"/>
      <c r="J56" s="655"/>
      <c r="K56" s="655"/>
      <c r="L56" s="655"/>
      <c r="M56" s="655"/>
      <c r="N56" s="655"/>
      <c r="O56" s="655"/>
      <c r="P56" s="655"/>
    </row>
    <row r="57" spans="2:16" ht="12.75" customHeight="1">
      <c r="B57" s="576"/>
      <c r="C57" s="619" t="s">
        <v>266</v>
      </c>
      <c r="D57" s="650"/>
      <c r="E57" s="650"/>
      <c r="G57" s="653">
        <f>F40</f>
        <v>14998794.738878995</v>
      </c>
      <c r="H57" s="646"/>
      <c r="I57" s="542"/>
      <c r="J57" s="588"/>
      <c r="K57" s="542"/>
      <c r="L57" s="542"/>
      <c r="M57" s="542"/>
      <c r="N57" s="542"/>
      <c r="O57" s="542"/>
      <c r="P57" s="588"/>
    </row>
    <row r="58" spans="2:16">
      <c r="B58" s="576"/>
      <c r="C58" s="655" t="str">
        <f>"   Annual Revenue Requirement, with "&amp;F17&amp;" Basis Point ROE increase"</f>
        <v xml:space="preserve">   Annual Revenue Requirement, with  Basis Point ROE increase</v>
      </c>
      <c r="D58" s="563"/>
      <c r="E58" s="542"/>
      <c r="G58" s="647">
        <f>SUM(G55:G57)</f>
        <v>374263382.33779609</v>
      </c>
      <c r="H58" s="646"/>
      <c r="I58" s="542"/>
      <c r="J58" s="588"/>
      <c r="K58" s="542"/>
      <c r="L58" s="542"/>
      <c r="M58" s="542"/>
      <c r="N58" s="542"/>
      <c r="O58" s="542"/>
      <c r="P58" s="588"/>
    </row>
    <row r="59" spans="2:16">
      <c r="B59" s="576"/>
      <c r="C59" s="635" t="str">
        <f>"   Depreciation  (TCOS, ln "&amp;TCOS!B174&amp;")"</f>
        <v xml:space="preserve">   Depreciation  (TCOS, ln 100)</v>
      </c>
      <c r="D59" s="563"/>
      <c r="E59" s="542"/>
      <c r="G59" s="664">
        <f>TCOS!L174</f>
        <v>65699730</v>
      </c>
      <c r="H59" s="646"/>
      <c r="I59" s="542"/>
      <c r="J59" s="588"/>
      <c r="K59" s="542"/>
      <c r="L59" s="542"/>
      <c r="M59" s="542"/>
      <c r="N59" s="542"/>
      <c r="O59" s="542"/>
      <c r="P59" s="588"/>
    </row>
    <row r="60" spans="2:16">
      <c r="B60" s="576"/>
      <c r="C60" s="655" t="str">
        <f>"   Annual Rev. Req, w/"&amp;F17&amp;" Basis Point ROE increase, less Depreciation"</f>
        <v xml:space="preserve">   Annual Rev. Req, w/ Basis Point ROE increase, less Depreciation</v>
      </c>
      <c r="D60" s="563"/>
      <c r="E60" s="542"/>
      <c r="G60" s="647">
        <f>G58-G59</f>
        <v>308563652.33779609</v>
      </c>
      <c r="H60" s="646"/>
      <c r="I60" s="542"/>
      <c r="J60" s="588"/>
      <c r="K60" s="542"/>
      <c r="L60" s="542"/>
      <c r="M60" s="542"/>
      <c r="N60" s="542"/>
      <c r="O60" s="542"/>
      <c r="P60" s="588"/>
    </row>
    <row r="61" spans="2:16">
      <c r="B61" s="576"/>
      <c r="C61" s="542"/>
      <c r="D61" s="563"/>
      <c r="E61" s="542"/>
      <c r="F61" s="542"/>
      <c r="G61" s="542"/>
      <c r="H61" s="646"/>
      <c r="I61" s="542"/>
      <c r="J61" s="588"/>
      <c r="K61" s="542"/>
      <c r="L61" s="542"/>
      <c r="M61" s="542"/>
      <c r="N61" s="542"/>
      <c r="O61" s="542"/>
      <c r="P61" s="588"/>
    </row>
    <row r="62" spans="2:16" ht="15.75">
      <c r="B62" s="576"/>
      <c r="C62" s="596" t="str">
        <f>"C.   Determine FCR with hypothetical "&amp;F17&amp;" basis point ROE increase."</f>
        <v>C.   Determine FCR with hypothetical  basis point ROE increase.</v>
      </c>
      <c r="D62" s="563"/>
      <c r="E62" s="542"/>
      <c r="F62" s="542"/>
      <c r="G62" s="542"/>
      <c r="H62" s="646"/>
      <c r="I62" s="542"/>
      <c r="J62" s="588"/>
      <c r="K62" s="542"/>
      <c r="L62" s="542"/>
      <c r="M62" s="542"/>
      <c r="N62" s="542"/>
      <c r="O62" s="542"/>
      <c r="P62" s="588"/>
    </row>
    <row r="63" spans="2:16">
      <c r="B63" s="576"/>
      <c r="C63" s="542"/>
      <c r="D63" s="563"/>
      <c r="E63" s="542"/>
      <c r="F63" s="542"/>
      <c r="G63" s="542"/>
      <c r="H63" s="646"/>
      <c r="I63" s="542"/>
      <c r="J63" s="588"/>
      <c r="K63" s="542"/>
      <c r="L63" s="542"/>
      <c r="M63" s="542"/>
      <c r="N63" s="542"/>
      <c r="O63" s="542"/>
      <c r="P63" s="588"/>
    </row>
    <row r="64" spans="2:16">
      <c r="B64" s="576"/>
      <c r="C64" s="635" t="str">
        <f>"   Net Transmission Plant  (TCOS, ln "&amp;TCOS!B91&amp;")"</f>
        <v xml:space="preserve">   Net Transmission Plant  (TCOS, ln 42)</v>
      </c>
      <c r="D64" s="563"/>
      <c r="E64" s="542"/>
      <c r="G64" s="647">
        <f>TCOS!L91</f>
        <v>2011332682.1068349</v>
      </c>
      <c r="H64" s="665"/>
      <c r="I64" s="542"/>
      <c r="J64" s="588"/>
      <c r="K64" s="542"/>
      <c r="L64" s="542"/>
      <c r="M64" s="542"/>
      <c r="N64" s="542"/>
      <c r="O64" s="542"/>
      <c r="P64" s="588"/>
    </row>
    <row r="65" spans="2:16">
      <c r="B65" s="576"/>
      <c r="C65" s="655" t="str">
        <f>"   Annual Revenue Requirement, with "&amp;F17&amp;" Basis Point ROE increase"</f>
        <v xml:space="preserve">   Annual Revenue Requirement, with  Basis Point ROE increase</v>
      </c>
      <c r="D65" s="563"/>
      <c r="E65" s="542"/>
      <c r="G65" s="647">
        <f>G58</f>
        <v>374263382.33779609</v>
      </c>
      <c r="H65" s="646"/>
      <c r="I65" s="542"/>
      <c r="J65" s="588"/>
      <c r="K65" s="542"/>
      <c r="L65" s="542"/>
      <c r="M65" s="542"/>
      <c r="N65" s="542"/>
      <c r="O65" s="542"/>
      <c r="P65" s="588"/>
    </row>
    <row r="66" spans="2:16">
      <c r="B66" s="576"/>
      <c r="C66" s="655" t="str">
        <f>"   FCR with "&amp;F17&amp;" Basis Point increase in ROE"</f>
        <v xml:space="preserve">   FCR with  Basis Point increase in ROE</v>
      </c>
      <c r="D66" s="563"/>
      <c r="E66" s="542"/>
      <c r="G66" s="645">
        <f>G65/G64</f>
        <v>0.18607731364746777</v>
      </c>
      <c r="H66" s="646"/>
      <c r="I66" s="542"/>
      <c r="J66" s="588"/>
      <c r="K66" s="542"/>
      <c r="L66" s="542"/>
      <c r="M66" s="542"/>
      <c r="N66" s="542"/>
      <c r="O66" s="542"/>
      <c r="P66" s="588"/>
    </row>
    <row r="67" spans="2:16">
      <c r="B67" s="576"/>
      <c r="C67" s="368"/>
      <c r="D67" s="563"/>
      <c r="E67" s="542"/>
      <c r="G67" s="576"/>
      <c r="H67" s="646"/>
      <c r="I67" s="542"/>
      <c r="J67" s="588"/>
      <c r="K67" s="542"/>
      <c r="L67" s="542"/>
      <c r="M67" s="542"/>
      <c r="N67" s="542"/>
      <c r="O67" s="542"/>
      <c r="P67" s="588"/>
    </row>
    <row r="68" spans="2:16">
      <c r="B68" s="576"/>
      <c r="C68" s="655" t="str">
        <f>"   Annual Rev. Req, w / "&amp;F17&amp;" Basis Point ROE increase, less Dep."</f>
        <v xml:space="preserve">   Annual Rev. Req, w /  Basis Point ROE increase, less Dep.</v>
      </c>
      <c r="D68" s="563"/>
      <c r="E68" s="542"/>
      <c r="G68" s="647">
        <f>G60</f>
        <v>308563652.33779609</v>
      </c>
      <c r="H68" s="646"/>
      <c r="I68" s="542"/>
      <c r="J68" s="588"/>
      <c r="K68" s="542"/>
      <c r="L68" s="542"/>
      <c r="M68" s="542"/>
      <c r="N68" s="542"/>
      <c r="O68" s="542"/>
      <c r="P68" s="588"/>
    </row>
    <row r="69" spans="2:16">
      <c r="B69" s="576"/>
      <c r="C69" s="655" t="str">
        <f>"   FCR with "&amp;F17&amp;" Basis Point ROE increase, less Depreciation"</f>
        <v xml:space="preserve">   FCR with  Basis Point ROE increase, less Depreciation</v>
      </c>
      <c r="D69" s="563"/>
      <c r="E69" s="542"/>
      <c r="G69" s="645">
        <f>G68/G64</f>
        <v>0.15341253840442806</v>
      </c>
      <c r="H69" s="646"/>
      <c r="I69" s="542"/>
      <c r="J69" s="588"/>
      <c r="K69" s="542"/>
      <c r="L69" s="542"/>
      <c r="M69" s="542"/>
      <c r="N69" s="542"/>
      <c r="O69" s="542"/>
      <c r="P69" s="588"/>
    </row>
    <row r="70" spans="2:16">
      <c r="B70" s="576"/>
      <c r="C70" s="635" t="str">
        <f>"   FCR less Depreciation  (TCOS, ln "&amp;TCOS!B34&amp;")"</f>
        <v xml:space="preserve">   FCR less Depreciation  (TCOS, ln 10)</v>
      </c>
      <c r="D70" s="563"/>
      <c r="E70" s="542"/>
      <c r="G70" s="666">
        <f>TCOS!L34</f>
        <v>0.15341253840442806</v>
      </c>
      <c r="H70" s="646"/>
      <c r="I70" s="542"/>
      <c r="J70" s="588"/>
      <c r="K70" s="542"/>
      <c r="L70" s="542"/>
      <c r="M70" s="542"/>
      <c r="N70" s="542"/>
      <c r="O70" s="542"/>
      <c r="P70" s="588"/>
    </row>
    <row r="71" spans="2:16">
      <c r="B71" s="576"/>
      <c r="C71" s="655" t="str">
        <f>"   Incremental FCR with "&amp;F17&amp;" Basis Point ROE increase, less Depreciation"</f>
        <v xml:space="preserve">   Incremental FCR with  Basis Point ROE increase, less Depreciation</v>
      </c>
      <c r="D71" s="563"/>
      <c r="E71" s="542"/>
      <c r="G71" s="645">
        <f>G69-G70</f>
        <v>0</v>
      </c>
      <c r="H71" s="646"/>
      <c r="I71" s="542"/>
      <c r="J71" s="588"/>
      <c r="K71" s="542"/>
      <c r="L71" s="542"/>
      <c r="M71" s="542"/>
      <c r="N71" s="542"/>
      <c r="O71" s="542"/>
      <c r="P71" s="588"/>
    </row>
    <row r="72" spans="2:16">
      <c r="B72" s="576"/>
      <c r="C72" s="655"/>
      <c r="D72" s="563"/>
      <c r="E72" s="542"/>
      <c r="F72" s="645"/>
      <c r="G72" s="542"/>
      <c r="H72" s="646"/>
      <c r="I72" s="542"/>
      <c r="J72" s="588"/>
      <c r="K72" s="542"/>
      <c r="L72" s="542"/>
      <c r="M72" s="542"/>
      <c r="N72" s="542"/>
      <c r="O72" s="542"/>
      <c r="P72" s="588"/>
    </row>
    <row r="73" spans="2:16" ht="18.75">
      <c r="B73" s="595" t="s">
        <v>173</v>
      </c>
      <c r="C73" s="594" t="s">
        <v>267</v>
      </c>
      <c r="D73" s="563"/>
      <c r="E73" s="542"/>
      <c r="F73" s="645"/>
      <c r="G73" s="542"/>
      <c r="H73" s="646"/>
      <c r="I73" s="542"/>
      <c r="J73" s="588"/>
      <c r="K73" s="542"/>
      <c r="L73" s="542"/>
      <c r="M73" s="542"/>
      <c r="N73" s="542"/>
      <c r="O73" s="542"/>
      <c r="P73" s="588"/>
    </row>
    <row r="74" spans="2:16">
      <c r="B74" s="576"/>
      <c r="C74" s="655"/>
      <c r="D74" s="563"/>
      <c r="E74" s="542"/>
      <c r="F74" s="645"/>
      <c r="G74" s="542"/>
      <c r="H74" s="646"/>
      <c r="I74" s="542"/>
      <c r="J74" s="588"/>
      <c r="K74" s="542"/>
      <c r="L74" s="542"/>
      <c r="M74" s="542"/>
      <c r="N74" s="542"/>
      <c r="O74" s="542"/>
      <c r="P74" s="588"/>
    </row>
    <row r="75" spans="2:16">
      <c r="B75" s="576"/>
      <c r="C75" s="655" t="str">
        <f>+"Average Transmission Plant Balance for "&amp;TCOS!L4&amp;" (TCOS, ln "&amp;TCOS!B68&amp;")"</f>
        <v>Average Transmission Plant Balance for 2021 (TCOS, ln 21)</v>
      </c>
      <c r="D75" s="563"/>
      <c r="G75" s="646">
        <f>TCOS!L68</f>
        <v>2899736542.5807691</v>
      </c>
      <c r="I75" s="542"/>
      <c r="J75" s="588"/>
      <c r="K75" s="669"/>
      <c r="L75" s="542"/>
      <c r="M75" s="542"/>
      <c r="N75" s="542"/>
      <c r="O75" s="542"/>
      <c r="P75" s="588"/>
    </row>
    <row r="76" spans="2:16">
      <c r="B76" s="576"/>
      <c r="C76" s="667" t="str">
        <f>"Annual Depreciation and Amortization Expense  (TCOS, ln "&amp;TCOS!B174&amp;")"</f>
        <v>Annual Depreciation and Amortization Expense  (TCOS, ln 100)</v>
      </c>
      <c r="D76" s="563"/>
      <c r="E76" s="542"/>
      <c r="G76" s="668">
        <f>TCOS!L174</f>
        <v>65699730</v>
      </c>
      <c r="H76" s="646"/>
      <c r="I76" s="542"/>
      <c r="J76" s="588"/>
      <c r="K76" s="542"/>
      <c r="L76" s="542"/>
      <c r="M76" s="542"/>
      <c r="N76" s="542"/>
      <c r="O76" s="542"/>
      <c r="P76" s="588"/>
    </row>
    <row r="77" spans="2:16">
      <c r="B77" s="576"/>
      <c r="C77" s="655" t="s">
        <v>268</v>
      </c>
      <c r="D77" s="563"/>
      <c r="E77" s="542"/>
      <c r="G77" s="645">
        <f>+G76/G75</f>
        <v>2.2657137652073441E-2</v>
      </c>
      <c r="H77" s="670"/>
      <c r="I77" s="542"/>
      <c r="J77" s="588"/>
      <c r="K77" s="542"/>
      <c r="L77" s="542"/>
      <c r="M77" s="542"/>
      <c r="N77" s="542"/>
      <c r="O77" s="542"/>
      <c r="P77" s="588"/>
    </row>
    <row r="78" spans="2:16">
      <c r="B78" s="576"/>
      <c r="C78" s="655" t="s">
        <v>269</v>
      </c>
      <c r="D78" s="563"/>
      <c r="E78" s="542"/>
      <c r="G78" s="670">
        <f>1/G77</f>
        <v>44.136201816670614</v>
      </c>
      <c r="H78" s="646"/>
      <c r="I78" s="542"/>
      <c r="J78" s="588"/>
      <c r="K78" s="542"/>
      <c r="L78" s="542"/>
      <c r="M78" s="542"/>
      <c r="N78" s="542"/>
      <c r="O78" s="542"/>
      <c r="P78" s="588"/>
    </row>
    <row r="79" spans="2:16">
      <c r="B79" s="576"/>
      <c r="C79" s="655" t="s">
        <v>270</v>
      </c>
      <c r="D79" s="563"/>
      <c r="E79" s="542"/>
      <c r="G79" s="671">
        <f>ROUND(G78,0)</f>
        <v>44</v>
      </c>
      <c r="H79" s="646"/>
      <c r="I79" s="542"/>
      <c r="J79" s="588"/>
      <c r="K79" s="542"/>
      <c r="L79" s="542"/>
      <c r="M79" s="542"/>
      <c r="N79" s="542"/>
      <c r="O79" s="542"/>
      <c r="P79" s="588"/>
    </row>
    <row r="80" spans="2:16">
      <c r="B80" s="576"/>
      <c r="C80" s="655"/>
      <c r="D80" s="563"/>
      <c r="E80" s="542"/>
      <c r="G80" s="671"/>
      <c r="H80" s="646"/>
      <c r="I80" s="542"/>
      <c r="J80" s="588"/>
      <c r="K80" s="542"/>
      <c r="L80" s="542"/>
      <c r="M80" s="542"/>
      <c r="N80" s="542"/>
      <c r="O80" s="542"/>
      <c r="P80" s="588"/>
    </row>
    <row r="81" spans="1:16" ht="20.25">
      <c r="A81" s="675" t="s">
        <v>931</v>
      </c>
      <c r="B81" s="576"/>
      <c r="C81" s="655"/>
      <c r="D81" s="563"/>
      <c r="E81" s="542"/>
      <c r="F81" s="645"/>
      <c r="G81" s="542"/>
      <c r="H81" s="1241"/>
      <c r="K81" s="676"/>
      <c r="L81" s="676"/>
      <c r="M81" s="676"/>
      <c r="N81" s="591" t="str">
        <f>"Page "&amp;SUM(P$6:P81)&amp;" of "</f>
        <v xml:space="preserve">Page 1 of </v>
      </c>
      <c r="O81" s="592">
        <f>COUNT(P$6:P$59579)</f>
        <v>22</v>
      </c>
      <c r="P81" s="674"/>
    </row>
    <row r="82" spans="1:16">
      <c r="B82" s="576"/>
      <c r="C82" s="542"/>
      <c r="D82" s="563"/>
      <c r="E82" s="542"/>
      <c r="F82" s="542"/>
      <c r="G82" s="542"/>
      <c r="H82" s="1241"/>
      <c r="I82" s="542"/>
      <c r="J82" s="588"/>
      <c r="K82" s="542"/>
      <c r="L82" s="542"/>
      <c r="M82" s="542"/>
      <c r="N82" s="542"/>
      <c r="O82" s="542"/>
    </row>
    <row r="83" spans="1:16" ht="18">
      <c r="B83" s="595" t="s">
        <v>174</v>
      </c>
      <c r="C83" s="677" t="s">
        <v>290</v>
      </c>
      <c r="D83" s="563"/>
      <c r="E83" s="542"/>
      <c r="F83" s="542"/>
      <c r="G83" s="542"/>
      <c r="H83" s="1241"/>
      <c r="I83" s="1241"/>
      <c r="J83" s="1242"/>
      <c r="K83" s="1241"/>
      <c r="L83" s="1241"/>
      <c r="M83" s="1241"/>
      <c r="N83" s="1241"/>
      <c r="O83" s="542"/>
    </row>
    <row r="84" spans="1:16" ht="18.75">
      <c r="B84" s="595"/>
      <c r="C84" s="594"/>
      <c r="D84" s="563"/>
      <c r="E84" s="542"/>
      <c r="F84" s="542"/>
      <c r="G84" s="542"/>
      <c r="H84" s="1241"/>
      <c r="I84" s="1241"/>
      <c r="J84" s="1242"/>
      <c r="K84" s="1241"/>
      <c r="L84" s="1241"/>
      <c r="M84" s="1241"/>
      <c r="N84" s="1241"/>
      <c r="O84" s="542"/>
    </row>
    <row r="85" spans="1:16" ht="18.75">
      <c r="B85" s="595"/>
      <c r="C85" s="594" t="s">
        <v>291</v>
      </c>
      <c r="D85" s="563"/>
      <c r="E85" s="542"/>
      <c r="F85" s="542"/>
      <c r="G85" s="542"/>
      <c r="H85" s="1241"/>
      <c r="I85" s="1241"/>
      <c r="J85" s="1242"/>
      <c r="K85" s="1241"/>
      <c r="L85" s="1241"/>
      <c r="M85" s="1241"/>
      <c r="N85" s="1241"/>
      <c r="O85" s="542"/>
    </row>
    <row r="86" spans="1:16" ht="15.75" thickBot="1">
      <c r="C86" s="396"/>
      <c r="D86" s="563"/>
      <c r="E86" s="542"/>
      <c r="F86" s="542"/>
      <c r="G86" s="542"/>
      <c r="H86" s="1241"/>
      <c r="I86" s="1241"/>
      <c r="J86" s="1242"/>
      <c r="K86" s="1241"/>
      <c r="L86" s="1241"/>
      <c r="M86" s="1241"/>
      <c r="N86" s="1241"/>
      <c r="O86" s="542"/>
    </row>
    <row r="87" spans="1:16" ht="15.75">
      <c r="C87" s="596" t="s">
        <v>292</v>
      </c>
      <c r="D87" s="563"/>
      <c r="E87" s="542"/>
      <c r="F87" s="542"/>
      <c r="G87" s="1243"/>
      <c r="H87" s="542" t="s">
        <v>271</v>
      </c>
      <c r="I87" s="542"/>
      <c r="J87" s="588"/>
      <c r="K87" s="678" t="s">
        <v>296</v>
      </c>
      <c r="L87" s="679"/>
      <c r="M87" s="680"/>
      <c r="N87" s="1244">
        <f>VLOOKUP(I93,C100:O159,5)</f>
        <v>799880.44794502831</v>
      </c>
      <c r="O87" s="542"/>
    </row>
    <row r="88" spans="1:16" ht="15.75">
      <c r="C88" s="596"/>
      <c r="D88" s="563"/>
      <c r="E88" s="542"/>
      <c r="F88" s="542"/>
      <c r="G88" s="542"/>
      <c r="H88" s="1245"/>
      <c r="I88" s="1245"/>
      <c r="J88" s="1246"/>
      <c r="K88" s="683" t="s">
        <v>297</v>
      </c>
      <c r="L88" s="1247"/>
      <c r="M88" s="588"/>
      <c r="N88" s="1248">
        <f>VLOOKUP(I93,C100:O159,6)</f>
        <v>799880.44794502831</v>
      </c>
      <c r="O88" s="542"/>
    </row>
    <row r="89" spans="1:16" ht="13.5" thickBot="1">
      <c r="C89" s="684" t="s">
        <v>293</v>
      </c>
      <c r="D89" s="1711" t="s">
        <v>932</v>
      </c>
      <c r="E89" s="1711"/>
      <c r="F89" s="1711"/>
      <c r="G89" s="1711"/>
      <c r="H89" s="1241"/>
      <c r="I89" s="1241"/>
      <c r="J89" s="1242"/>
      <c r="K89" s="1249" t="s">
        <v>450</v>
      </c>
      <c r="L89" s="1250"/>
      <c r="M89" s="1250"/>
      <c r="N89" s="1251">
        <f>+N88-N87</f>
        <v>0</v>
      </c>
      <c r="O89" s="542"/>
    </row>
    <row r="90" spans="1:16">
      <c r="C90" s="686"/>
      <c r="D90" s="687"/>
      <c r="E90" s="671"/>
      <c r="F90" s="671"/>
      <c r="G90" s="688"/>
      <c r="H90" s="1241"/>
      <c r="I90" s="1241"/>
      <c r="J90" s="1242"/>
      <c r="K90" s="1241"/>
      <c r="L90" s="1241"/>
      <c r="M90" s="1241"/>
      <c r="N90" s="1241"/>
      <c r="O90" s="542"/>
    </row>
    <row r="91" spans="1:16" ht="13.5" thickBot="1">
      <c r="C91" s="689"/>
      <c r="D91" s="1252"/>
      <c r="E91" s="688"/>
      <c r="F91" s="688"/>
      <c r="G91" s="688"/>
      <c r="H91" s="688"/>
      <c r="I91" s="688"/>
      <c r="J91" s="691"/>
      <c r="K91" s="688"/>
      <c r="L91" s="688"/>
      <c r="M91" s="688"/>
      <c r="N91" s="688"/>
      <c r="O91" s="576"/>
    </row>
    <row r="92" spans="1:16" ht="13.5" thickBot="1">
      <c r="C92" s="692" t="s">
        <v>294</v>
      </c>
      <c r="D92" s="693"/>
      <c r="E92" s="693"/>
      <c r="F92" s="693"/>
      <c r="G92" s="693"/>
      <c r="H92" s="693"/>
      <c r="I92" s="694"/>
      <c r="J92" s="695"/>
      <c r="K92" s="542"/>
      <c r="L92" s="542"/>
      <c r="M92" s="542"/>
      <c r="N92" s="542"/>
      <c r="O92" s="696"/>
    </row>
    <row r="93" spans="1:16" ht="15">
      <c r="C93" s="697" t="s">
        <v>272</v>
      </c>
      <c r="D93" s="1253">
        <v>5559037</v>
      </c>
      <c r="E93" s="655" t="s">
        <v>273</v>
      </c>
      <c r="G93" s="698"/>
      <c r="H93" s="698"/>
      <c r="I93" s="699">
        <v>2018</v>
      </c>
      <c r="J93" s="586"/>
      <c r="K93" s="1702" t="s">
        <v>459</v>
      </c>
      <c r="L93" s="1702"/>
      <c r="M93" s="1702"/>
      <c r="N93" s="1702"/>
      <c r="O93" s="1702"/>
    </row>
    <row r="94" spans="1:16">
      <c r="C94" s="697" t="s">
        <v>275</v>
      </c>
      <c r="D94" s="873">
        <v>2009</v>
      </c>
      <c r="E94" s="697" t="s">
        <v>276</v>
      </c>
      <c r="F94" s="698"/>
      <c r="H94" s="330"/>
      <c r="I94" s="1254">
        <f>IF(G87="",0,$F$15)</f>
        <v>0</v>
      </c>
      <c r="J94" s="700"/>
      <c r="K94" s="1242" t="s">
        <v>459</v>
      </c>
    </row>
    <row r="95" spans="1:16">
      <c r="C95" s="697" t="s">
        <v>277</v>
      </c>
      <c r="D95" s="1253">
        <v>3</v>
      </c>
      <c r="E95" s="697" t="s">
        <v>278</v>
      </c>
      <c r="F95" s="698"/>
      <c r="H95" s="330"/>
      <c r="I95" s="701">
        <f>$G$70</f>
        <v>0.15341253840442806</v>
      </c>
      <c r="J95" s="702"/>
      <c r="K95" s="330" t="str">
        <f>"          INPUT PROJECTED ARR (WITH &amp; WITHOUT INCENTIVES) FROM EACH PRIOR YEAR"</f>
        <v xml:space="preserve">          INPUT PROJECTED ARR (WITH &amp; WITHOUT INCENTIVES) FROM EACH PRIOR YEAR</v>
      </c>
    </row>
    <row r="96" spans="1:16">
      <c r="C96" s="697" t="s">
        <v>279</v>
      </c>
      <c r="D96" s="703">
        <f>G$79</f>
        <v>44</v>
      </c>
      <c r="E96" s="697" t="s">
        <v>280</v>
      </c>
      <c r="F96" s="698"/>
      <c r="H96" s="330"/>
      <c r="I96" s="701">
        <f>IF(G87="",I95,$G$67)</f>
        <v>0.15341253840442806</v>
      </c>
      <c r="J96" s="704"/>
      <c r="K96" s="330" t="s">
        <v>357</v>
      </c>
    </row>
    <row r="97" spans="1:15" ht="13.5" thickBot="1">
      <c r="C97" s="697" t="s">
        <v>281</v>
      </c>
      <c r="D97" s="866" t="s">
        <v>933</v>
      </c>
      <c r="E97" s="705" t="s">
        <v>282</v>
      </c>
      <c r="F97" s="706"/>
      <c r="G97" s="707"/>
      <c r="H97" s="707"/>
      <c r="I97" s="1251">
        <f>IF(D93=0,0,D93/D96)</f>
        <v>126341.75</v>
      </c>
      <c r="J97" s="1242"/>
      <c r="K97" s="1242" t="s">
        <v>363</v>
      </c>
      <c r="L97" s="1242"/>
      <c r="M97" s="1242"/>
      <c r="N97" s="1242"/>
      <c r="O97" s="588"/>
    </row>
    <row r="98" spans="1:15" ht="51">
      <c r="A98" s="529"/>
      <c r="B98" s="1255"/>
      <c r="C98" s="708" t="s">
        <v>272</v>
      </c>
      <c r="D98" s="1256" t="s">
        <v>283</v>
      </c>
      <c r="E98" s="1257" t="s">
        <v>284</v>
      </c>
      <c r="F98" s="1256" t="s">
        <v>285</v>
      </c>
      <c r="G98" s="1257" t="s">
        <v>356</v>
      </c>
      <c r="H98" s="1258" t="s">
        <v>356</v>
      </c>
      <c r="I98" s="708" t="s">
        <v>295</v>
      </c>
      <c r="J98" s="712"/>
      <c r="K98" s="1257" t="s">
        <v>365</v>
      </c>
      <c r="L98" s="1259"/>
      <c r="M98" s="1257" t="s">
        <v>365</v>
      </c>
      <c r="N98" s="1259"/>
      <c r="O98" s="1259"/>
    </row>
    <row r="99" spans="1:15" ht="13.5" thickBot="1">
      <c r="C99" s="714" t="s">
        <v>177</v>
      </c>
      <c r="D99" s="715" t="s">
        <v>178</v>
      </c>
      <c r="E99" s="714" t="s">
        <v>37</v>
      </c>
      <c r="F99" s="715" t="s">
        <v>178</v>
      </c>
      <c r="G99" s="1260" t="s">
        <v>298</v>
      </c>
      <c r="H99" s="1261" t="s">
        <v>300</v>
      </c>
      <c r="I99" s="718" t="s">
        <v>389</v>
      </c>
      <c r="J99" s="719"/>
      <c r="K99" s="1260" t="s">
        <v>287</v>
      </c>
      <c r="L99" s="1262"/>
      <c r="M99" s="1260" t="s">
        <v>300</v>
      </c>
      <c r="N99" s="1262"/>
      <c r="O99" s="1262"/>
    </row>
    <row r="100" spans="1:15">
      <c r="C100" s="720">
        <f>IF(D94= "","-",D94)</f>
        <v>2009</v>
      </c>
      <c r="D100" s="673">
        <f>+D93</f>
        <v>5559037</v>
      </c>
      <c r="E100" s="1263">
        <f>+I97/12*(12-D95)</f>
        <v>94756.3125</v>
      </c>
      <c r="F100" s="673">
        <f t="shared" ref="F100:F159" si="0">+D100-E100</f>
        <v>5464280.6875</v>
      </c>
      <c r="G100" s="1264">
        <f>+$I$95*((D100+F100)/2)+E100</f>
        <v>940313.88653890241</v>
      </c>
      <c r="H100" s="1265">
        <f>$I$96*((D100+F100)/2)+E100</f>
        <v>940313.88653890241</v>
      </c>
      <c r="I100" s="724">
        <f>+H100-G100</f>
        <v>0</v>
      </c>
      <c r="J100" s="724"/>
      <c r="K100" s="868">
        <v>894795.92009701405</v>
      </c>
      <c r="L100" s="725"/>
      <c r="M100" s="868">
        <v>894795.92009701405</v>
      </c>
      <c r="N100" s="725"/>
      <c r="O100" s="725"/>
    </row>
    <row r="101" spans="1:15">
      <c r="C101" s="720">
        <f>IF(D94="","-",+C100+1)</f>
        <v>2010</v>
      </c>
      <c r="D101" s="673">
        <f t="shared" ref="D101:D159" si="1">F100</f>
        <v>5464280.6875</v>
      </c>
      <c r="E101" s="726">
        <f>IF(D101&gt;$I$97,$I$97,D101)</f>
        <v>126341.75</v>
      </c>
      <c r="F101" s="673">
        <f t="shared" si="0"/>
        <v>5337938.9375</v>
      </c>
      <c r="G101" s="1263">
        <f t="shared" ref="G101:G159" si="2">+$I$95*((D101+F101)/2)+E101</f>
        <v>954939.71653668955</v>
      </c>
      <c r="H101" s="1266">
        <f t="shared" ref="H101:H159" si="3">$I$96*((D101+F101)/2)+E101</f>
        <v>954939.71653668955</v>
      </c>
      <c r="I101" s="724">
        <f t="shared" ref="I101:I159" si="4">+H101-G101</f>
        <v>0</v>
      </c>
      <c r="J101" s="724"/>
      <c r="K101" s="869">
        <v>1094271.219602833</v>
      </c>
      <c r="L101" s="729"/>
      <c r="M101" s="869">
        <v>1094271.219602833</v>
      </c>
      <c r="N101" s="729"/>
      <c r="O101" s="729"/>
    </row>
    <row r="102" spans="1:15">
      <c r="C102" s="720">
        <f>IF(D94="","-",+C101+1)</f>
        <v>2011</v>
      </c>
      <c r="D102" s="673">
        <f t="shared" si="1"/>
        <v>5337938.9375</v>
      </c>
      <c r="E102" s="726">
        <f t="shared" ref="E102:E159" si="5">IF(D102&gt;$I$97,$I$97,D102)</f>
        <v>126341.75</v>
      </c>
      <c r="F102" s="673">
        <f t="shared" si="0"/>
        <v>5211597.1875</v>
      </c>
      <c r="G102" s="1263">
        <f t="shared" si="2"/>
        <v>935557.30796273181</v>
      </c>
      <c r="H102" s="1266">
        <f t="shared" si="3"/>
        <v>935557.30796273181</v>
      </c>
      <c r="I102" s="724">
        <f t="shared" si="4"/>
        <v>0</v>
      </c>
      <c r="J102" s="724"/>
      <c r="K102" s="869">
        <v>1210680</v>
      </c>
      <c r="L102" s="729"/>
      <c r="M102" s="869">
        <v>1210680</v>
      </c>
      <c r="N102" s="729"/>
      <c r="O102" s="729"/>
    </row>
    <row r="103" spans="1:15">
      <c r="C103" s="720">
        <f>IF(D94="","-",+C102+1)</f>
        <v>2012</v>
      </c>
      <c r="D103" s="673">
        <f t="shared" si="1"/>
        <v>5211597.1875</v>
      </c>
      <c r="E103" s="726">
        <f t="shared" si="5"/>
        <v>126341.75</v>
      </c>
      <c r="F103" s="673">
        <f t="shared" si="0"/>
        <v>5085255.4375</v>
      </c>
      <c r="G103" s="1263">
        <f t="shared" si="2"/>
        <v>916174.89938877418</v>
      </c>
      <c r="H103" s="1266">
        <f t="shared" si="3"/>
        <v>916174.89938877418</v>
      </c>
      <c r="I103" s="724">
        <f t="shared" si="4"/>
        <v>0</v>
      </c>
      <c r="J103" s="724"/>
      <c r="K103" s="869">
        <v>1057665.8743332385</v>
      </c>
      <c r="L103" s="729"/>
      <c r="M103" s="869">
        <v>1057665.8743332385</v>
      </c>
      <c r="N103" s="729"/>
      <c r="O103" s="729"/>
    </row>
    <row r="104" spans="1:15">
      <c r="C104" s="720">
        <f>IF(D94="","-",+C103+1)</f>
        <v>2013</v>
      </c>
      <c r="D104" s="673">
        <f t="shared" si="1"/>
        <v>5085255.4375</v>
      </c>
      <c r="E104" s="726">
        <f t="shared" si="5"/>
        <v>126341.75</v>
      </c>
      <c r="F104" s="673">
        <f t="shared" si="0"/>
        <v>4958913.6875</v>
      </c>
      <c r="G104" s="1263">
        <f t="shared" si="2"/>
        <v>896792.49081481656</v>
      </c>
      <c r="H104" s="1266">
        <f t="shared" si="3"/>
        <v>896792.49081481656</v>
      </c>
      <c r="I104" s="724">
        <f t="shared" si="4"/>
        <v>0</v>
      </c>
      <c r="J104" s="724"/>
      <c r="K104" s="1267">
        <v>1051933</v>
      </c>
      <c r="L104" s="729"/>
      <c r="M104" s="1267">
        <v>1051933</v>
      </c>
      <c r="N104" s="729"/>
      <c r="O104" s="729"/>
    </row>
    <row r="105" spans="1:15">
      <c r="C105" s="720">
        <f>IF(D94="","-",+C104+1)</f>
        <v>2014</v>
      </c>
      <c r="D105" s="673">
        <f t="shared" si="1"/>
        <v>4958913.6875</v>
      </c>
      <c r="E105" s="726">
        <f t="shared" si="5"/>
        <v>126341.75</v>
      </c>
      <c r="F105" s="673">
        <f t="shared" si="0"/>
        <v>4832571.9375</v>
      </c>
      <c r="G105" s="1263">
        <f t="shared" si="2"/>
        <v>877410.08224085893</v>
      </c>
      <c r="H105" s="1266">
        <f t="shared" si="3"/>
        <v>877410.08224085893</v>
      </c>
      <c r="I105" s="724">
        <f t="shared" si="4"/>
        <v>0</v>
      </c>
      <c r="J105" s="724"/>
      <c r="K105" s="869">
        <v>1050369</v>
      </c>
      <c r="L105" s="729"/>
      <c r="M105" s="869">
        <v>1050369</v>
      </c>
      <c r="N105" s="729"/>
      <c r="O105" s="729"/>
    </row>
    <row r="106" spans="1:15">
      <c r="C106" s="720">
        <f>IF(D94="","-",+C105+1)</f>
        <v>2015</v>
      </c>
      <c r="D106" s="673">
        <f t="shared" si="1"/>
        <v>4832571.9375</v>
      </c>
      <c r="E106" s="726">
        <f t="shared" si="5"/>
        <v>126341.75</v>
      </c>
      <c r="F106" s="673">
        <f t="shared" si="0"/>
        <v>4706230.1875</v>
      </c>
      <c r="G106" s="1263">
        <f t="shared" si="2"/>
        <v>858027.6736669013</v>
      </c>
      <c r="H106" s="1266">
        <f t="shared" si="3"/>
        <v>858027.6736669013</v>
      </c>
      <c r="I106" s="724">
        <f t="shared" si="4"/>
        <v>0</v>
      </c>
      <c r="J106" s="724"/>
      <c r="K106" s="869">
        <v>1028335</v>
      </c>
      <c r="L106" s="729"/>
      <c r="M106" s="869">
        <v>1028335</v>
      </c>
      <c r="N106" s="729"/>
      <c r="O106" s="729"/>
    </row>
    <row r="107" spans="1:15">
      <c r="C107" s="720">
        <f>IF(D94="","-",+C106+1)</f>
        <v>2016</v>
      </c>
      <c r="D107" s="673">
        <f t="shared" si="1"/>
        <v>4706230.1875</v>
      </c>
      <c r="E107" s="726">
        <f t="shared" si="5"/>
        <v>126341.75</v>
      </c>
      <c r="F107" s="673">
        <f t="shared" si="0"/>
        <v>4579888.4375</v>
      </c>
      <c r="G107" s="1263">
        <f t="shared" si="2"/>
        <v>838645.26509294356</v>
      </c>
      <c r="H107" s="1266">
        <f t="shared" si="3"/>
        <v>838645.26509294356</v>
      </c>
      <c r="I107" s="724">
        <f t="shared" si="4"/>
        <v>0</v>
      </c>
      <c r="J107" s="724"/>
      <c r="K107" s="869">
        <v>989594</v>
      </c>
      <c r="L107" s="729"/>
      <c r="M107" s="869">
        <v>989594</v>
      </c>
      <c r="N107" s="729"/>
      <c r="O107" s="729"/>
    </row>
    <row r="108" spans="1:15">
      <c r="C108" s="720">
        <f>IF(D94="","-",+C107+1)</f>
        <v>2017</v>
      </c>
      <c r="D108" s="673">
        <f t="shared" si="1"/>
        <v>4579888.4375</v>
      </c>
      <c r="E108" s="726">
        <f t="shared" si="5"/>
        <v>126341.75</v>
      </c>
      <c r="F108" s="673">
        <f t="shared" si="0"/>
        <v>4453546.6875</v>
      </c>
      <c r="G108" s="1263">
        <f t="shared" si="2"/>
        <v>819262.85651898594</v>
      </c>
      <c r="H108" s="1266">
        <f t="shared" si="3"/>
        <v>819262.85651898594</v>
      </c>
      <c r="I108" s="724">
        <f t="shared" si="4"/>
        <v>0</v>
      </c>
      <c r="J108" s="724"/>
      <c r="K108" s="869">
        <v>996311</v>
      </c>
      <c r="L108" s="729"/>
      <c r="M108" s="869">
        <v>996311</v>
      </c>
      <c r="N108" s="729"/>
      <c r="O108" s="729"/>
    </row>
    <row r="109" spans="1:15">
      <c r="C109" s="1268">
        <f>IF(D94="","-",+C108+1)</f>
        <v>2018</v>
      </c>
      <c r="D109" s="1269">
        <f t="shared" si="1"/>
        <v>4453546.6875</v>
      </c>
      <c r="E109" s="1270">
        <f t="shared" si="5"/>
        <v>126341.75</v>
      </c>
      <c r="F109" s="1269">
        <f t="shared" si="0"/>
        <v>4327204.9375</v>
      </c>
      <c r="G109" s="1271">
        <f t="shared" si="2"/>
        <v>799880.44794502831</v>
      </c>
      <c r="H109" s="1272">
        <f t="shared" si="3"/>
        <v>799880.44794502831</v>
      </c>
      <c r="I109" s="1273">
        <f t="shared" si="4"/>
        <v>0</v>
      </c>
      <c r="J109" s="724"/>
      <c r="K109" s="869"/>
      <c r="L109" s="729"/>
      <c r="M109" s="869"/>
      <c r="N109" s="729"/>
      <c r="O109" s="729"/>
    </row>
    <row r="110" spans="1:15">
      <c r="C110" s="720">
        <f>IF(D94="","-",+C109+1)</f>
        <v>2019</v>
      </c>
      <c r="D110" s="673">
        <f t="shared" si="1"/>
        <v>4327204.9375</v>
      </c>
      <c r="E110" s="726">
        <f t="shared" si="5"/>
        <v>126341.75</v>
      </c>
      <c r="F110" s="673">
        <f t="shared" si="0"/>
        <v>4200863.1875</v>
      </c>
      <c r="G110" s="1263">
        <f t="shared" si="2"/>
        <v>780498.03937107068</v>
      </c>
      <c r="H110" s="1266">
        <f t="shared" si="3"/>
        <v>780498.03937107068</v>
      </c>
      <c r="I110" s="724">
        <f t="shared" si="4"/>
        <v>0</v>
      </c>
      <c r="J110" s="724"/>
      <c r="K110" s="869"/>
      <c r="L110" s="729"/>
      <c r="M110" s="869"/>
      <c r="N110" s="729"/>
      <c r="O110" s="729"/>
    </row>
    <row r="111" spans="1:15">
      <c r="C111" s="720">
        <f>IF(D94="","-",+C110+1)</f>
        <v>2020</v>
      </c>
      <c r="D111" s="673">
        <f t="shared" si="1"/>
        <v>4200863.1875</v>
      </c>
      <c r="E111" s="726">
        <f t="shared" si="5"/>
        <v>126341.75</v>
      </c>
      <c r="F111" s="673">
        <f t="shared" si="0"/>
        <v>4074521.4375</v>
      </c>
      <c r="G111" s="1263">
        <f t="shared" si="2"/>
        <v>761115.63079711306</v>
      </c>
      <c r="H111" s="1266">
        <f t="shared" si="3"/>
        <v>761115.63079711306</v>
      </c>
      <c r="I111" s="724">
        <f t="shared" si="4"/>
        <v>0</v>
      </c>
      <c r="J111" s="724"/>
      <c r="K111" s="869"/>
      <c r="L111" s="729"/>
      <c r="M111" s="869"/>
      <c r="N111" s="729"/>
      <c r="O111" s="729"/>
    </row>
    <row r="112" spans="1:15">
      <c r="C112" s="720">
        <f>IF(D94="","-",+C111+1)</f>
        <v>2021</v>
      </c>
      <c r="D112" s="673">
        <f t="shared" si="1"/>
        <v>4074521.4375</v>
      </c>
      <c r="E112" s="726">
        <f t="shared" si="5"/>
        <v>126341.75</v>
      </c>
      <c r="F112" s="673">
        <f t="shared" si="0"/>
        <v>3948179.6875</v>
      </c>
      <c r="G112" s="1263">
        <f t="shared" si="2"/>
        <v>741733.22222315532</v>
      </c>
      <c r="H112" s="1266">
        <f t="shared" si="3"/>
        <v>741733.22222315532</v>
      </c>
      <c r="I112" s="724">
        <f t="shared" si="4"/>
        <v>0</v>
      </c>
      <c r="J112" s="724"/>
      <c r="K112" s="869"/>
      <c r="L112" s="729"/>
      <c r="M112" s="869"/>
      <c r="N112" s="729"/>
      <c r="O112" s="729"/>
    </row>
    <row r="113" spans="3:15">
      <c r="C113" s="720">
        <f>IF(D94="","-",+C112+1)</f>
        <v>2022</v>
      </c>
      <c r="D113" s="673">
        <f t="shared" si="1"/>
        <v>3948179.6875</v>
      </c>
      <c r="E113" s="726">
        <f t="shared" si="5"/>
        <v>126341.75</v>
      </c>
      <c r="F113" s="673">
        <f t="shared" si="0"/>
        <v>3821837.9375</v>
      </c>
      <c r="G113" s="1263">
        <f t="shared" si="2"/>
        <v>722350.81364919769</v>
      </c>
      <c r="H113" s="1266">
        <f t="shared" si="3"/>
        <v>722350.81364919769</v>
      </c>
      <c r="I113" s="724">
        <f t="shared" si="4"/>
        <v>0</v>
      </c>
      <c r="J113" s="724"/>
      <c r="K113" s="869"/>
      <c r="L113" s="729"/>
      <c r="M113" s="869"/>
      <c r="N113" s="729"/>
      <c r="O113" s="729"/>
    </row>
    <row r="114" spans="3:15">
      <c r="C114" s="720">
        <f>IF(D94="","-",+C113+1)</f>
        <v>2023</v>
      </c>
      <c r="D114" s="673">
        <f t="shared" si="1"/>
        <v>3821837.9375</v>
      </c>
      <c r="E114" s="726">
        <f t="shared" si="5"/>
        <v>126341.75</v>
      </c>
      <c r="F114" s="673">
        <f t="shared" si="0"/>
        <v>3695496.1875</v>
      </c>
      <c r="G114" s="1263">
        <f t="shared" si="2"/>
        <v>702968.40507524007</v>
      </c>
      <c r="H114" s="1266">
        <f t="shared" si="3"/>
        <v>702968.40507524007</v>
      </c>
      <c r="I114" s="724">
        <f t="shared" si="4"/>
        <v>0</v>
      </c>
      <c r="J114" s="724"/>
      <c r="K114" s="869"/>
      <c r="L114" s="729"/>
      <c r="M114" s="869"/>
      <c r="N114" s="729"/>
      <c r="O114" s="729"/>
    </row>
    <row r="115" spans="3:15">
      <c r="C115" s="720">
        <f>IF(D94="","-",+C114+1)</f>
        <v>2024</v>
      </c>
      <c r="D115" s="673">
        <f t="shared" si="1"/>
        <v>3695496.1875</v>
      </c>
      <c r="E115" s="726">
        <f t="shared" si="5"/>
        <v>126341.75</v>
      </c>
      <c r="F115" s="673">
        <f t="shared" si="0"/>
        <v>3569154.4375</v>
      </c>
      <c r="G115" s="1263">
        <f t="shared" si="2"/>
        <v>683585.99650128244</v>
      </c>
      <c r="H115" s="1266">
        <f t="shared" si="3"/>
        <v>683585.99650128244</v>
      </c>
      <c r="I115" s="724">
        <f t="shared" si="4"/>
        <v>0</v>
      </c>
      <c r="J115" s="724"/>
      <c r="K115" s="869"/>
      <c r="L115" s="729"/>
      <c r="M115" s="869"/>
      <c r="N115" s="729"/>
      <c r="O115" s="729"/>
    </row>
    <row r="116" spans="3:15">
      <c r="C116" s="720">
        <f>IF(D94="","-",+C115+1)</f>
        <v>2025</v>
      </c>
      <c r="D116" s="673">
        <f t="shared" si="1"/>
        <v>3569154.4375</v>
      </c>
      <c r="E116" s="726">
        <f t="shared" si="5"/>
        <v>126341.75</v>
      </c>
      <c r="F116" s="673">
        <f t="shared" si="0"/>
        <v>3442812.6875</v>
      </c>
      <c r="G116" s="1263">
        <f t="shared" si="2"/>
        <v>664203.58792732481</v>
      </c>
      <c r="H116" s="1266">
        <f t="shared" si="3"/>
        <v>664203.58792732481</v>
      </c>
      <c r="I116" s="724">
        <f t="shared" si="4"/>
        <v>0</v>
      </c>
      <c r="J116" s="724"/>
      <c r="K116" s="869"/>
      <c r="L116" s="729"/>
      <c r="M116" s="869"/>
      <c r="N116" s="729"/>
      <c r="O116" s="729"/>
    </row>
    <row r="117" spans="3:15">
      <c r="C117" s="720">
        <f>IF(D94="","-",+C116+1)</f>
        <v>2026</v>
      </c>
      <c r="D117" s="673">
        <f t="shared" si="1"/>
        <v>3442812.6875</v>
      </c>
      <c r="E117" s="726">
        <f t="shared" si="5"/>
        <v>126341.75</v>
      </c>
      <c r="F117" s="673">
        <f t="shared" si="0"/>
        <v>3316470.9375</v>
      </c>
      <c r="G117" s="1263">
        <f t="shared" si="2"/>
        <v>644821.17935336707</v>
      </c>
      <c r="H117" s="1266">
        <f t="shared" si="3"/>
        <v>644821.17935336707</v>
      </c>
      <c r="I117" s="724">
        <f t="shared" si="4"/>
        <v>0</v>
      </c>
      <c r="J117" s="724"/>
      <c r="K117" s="869"/>
      <c r="L117" s="729"/>
      <c r="M117" s="869"/>
      <c r="N117" s="729"/>
      <c r="O117" s="729"/>
    </row>
    <row r="118" spans="3:15">
      <c r="C118" s="720">
        <f>IF(D94="","-",+C117+1)</f>
        <v>2027</v>
      </c>
      <c r="D118" s="673">
        <f t="shared" si="1"/>
        <v>3316470.9375</v>
      </c>
      <c r="E118" s="726">
        <f t="shared" si="5"/>
        <v>126341.75</v>
      </c>
      <c r="F118" s="673">
        <f t="shared" si="0"/>
        <v>3190129.1875</v>
      </c>
      <c r="G118" s="1263">
        <f t="shared" si="2"/>
        <v>625438.77077940945</v>
      </c>
      <c r="H118" s="1266">
        <f t="shared" si="3"/>
        <v>625438.77077940945</v>
      </c>
      <c r="I118" s="724">
        <f t="shared" si="4"/>
        <v>0</v>
      </c>
      <c r="J118" s="724"/>
      <c r="K118" s="869"/>
      <c r="L118" s="729"/>
      <c r="M118" s="869"/>
      <c r="N118" s="729"/>
      <c r="O118" s="729"/>
    </row>
    <row r="119" spans="3:15">
      <c r="C119" s="720">
        <f>IF(D94="","-",+C118+1)</f>
        <v>2028</v>
      </c>
      <c r="D119" s="673">
        <f t="shared" si="1"/>
        <v>3190129.1875</v>
      </c>
      <c r="E119" s="726">
        <f t="shared" si="5"/>
        <v>126341.75</v>
      </c>
      <c r="F119" s="673">
        <f t="shared" si="0"/>
        <v>3063787.4375</v>
      </c>
      <c r="G119" s="1263">
        <f t="shared" si="2"/>
        <v>606056.36220545182</v>
      </c>
      <c r="H119" s="1266">
        <f t="shared" si="3"/>
        <v>606056.36220545182</v>
      </c>
      <c r="I119" s="724">
        <f t="shared" si="4"/>
        <v>0</v>
      </c>
      <c r="J119" s="724"/>
      <c r="K119" s="869"/>
      <c r="L119" s="729"/>
      <c r="M119" s="869"/>
      <c r="N119" s="729"/>
      <c r="O119" s="729"/>
    </row>
    <row r="120" spans="3:15">
      <c r="C120" s="720">
        <f>IF(D94="","-",+C119+1)</f>
        <v>2029</v>
      </c>
      <c r="D120" s="673">
        <f t="shared" si="1"/>
        <v>3063787.4375</v>
      </c>
      <c r="E120" s="726">
        <f t="shared" si="5"/>
        <v>126341.75</v>
      </c>
      <c r="F120" s="673">
        <f t="shared" si="0"/>
        <v>2937445.6875</v>
      </c>
      <c r="G120" s="1263">
        <f t="shared" si="2"/>
        <v>586673.95363149419</v>
      </c>
      <c r="H120" s="1266">
        <f t="shared" si="3"/>
        <v>586673.95363149419</v>
      </c>
      <c r="I120" s="724">
        <f t="shared" si="4"/>
        <v>0</v>
      </c>
      <c r="J120" s="724"/>
      <c r="K120" s="869"/>
      <c r="L120" s="729"/>
      <c r="M120" s="869"/>
      <c r="N120" s="729"/>
      <c r="O120" s="729"/>
    </row>
    <row r="121" spans="3:15">
      <c r="C121" s="720">
        <f>IF(D94="","-",+C120+1)</f>
        <v>2030</v>
      </c>
      <c r="D121" s="673">
        <f t="shared" si="1"/>
        <v>2937445.6875</v>
      </c>
      <c r="E121" s="726">
        <f t="shared" si="5"/>
        <v>126341.75</v>
      </c>
      <c r="F121" s="673">
        <f t="shared" si="0"/>
        <v>2811103.9375</v>
      </c>
      <c r="G121" s="1263">
        <f t="shared" si="2"/>
        <v>567291.54505753657</v>
      </c>
      <c r="H121" s="1266">
        <f t="shared" si="3"/>
        <v>567291.54505753657</v>
      </c>
      <c r="I121" s="724">
        <f t="shared" si="4"/>
        <v>0</v>
      </c>
      <c r="J121" s="724"/>
      <c r="K121" s="869"/>
      <c r="L121" s="729"/>
      <c r="M121" s="869"/>
      <c r="N121" s="729"/>
      <c r="O121" s="729"/>
    </row>
    <row r="122" spans="3:15">
      <c r="C122" s="720">
        <f>IF(D94="","-",+C121+1)</f>
        <v>2031</v>
      </c>
      <c r="D122" s="673">
        <f t="shared" si="1"/>
        <v>2811103.9375</v>
      </c>
      <c r="E122" s="726">
        <f t="shared" si="5"/>
        <v>126341.75</v>
      </c>
      <c r="F122" s="673">
        <f t="shared" si="0"/>
        <v>2684762.1875</v>
      </c>
      <c r="G122" s="1263">
        <f t="shared" si="2"/>
        <v>547909.13648357894</v>
      </c>
      <c r="H122" s="1266">
        <f t="shared" si="3"/>
        <v>547909.13648357894</v>
      </c>
      <c r="I122" s="724">
        <f t="shared" si="4"/>
        <v>0</v>
      </c>
      <c r="J122" s="724"/>
      <c r="K122" s="869"/>
      <c r="L122" s="729"/>
      <c r="M122" s="869"/>
      <c r="N122" s="729"/>
      <c r="O122" s="729"/>
    </row>
    <row r="123" spans="3:15">
      <c r="C123" s="720">
        <f>IF(D94="","-",+C122+1)</f>
        <v>2032</v>
      </c>
      <c r="D123" s="673">
        <f t="shared" si="1"/>
        <v>2684762.1875</v>
      </c>
      <c r="E123" s="726">
        <f t="shared" si="5"/>
        <v>126341.75</v>
      </c>
      <c r="F123" s="673">
        <f t="shared" si="0"/>
        <v>2558420.4375</v>
      </c>
      <c r="G123" s="1263">
        <f t="shared" si="2"/>
        <v>528526.7279096212</v>
      </c>
      <c r="H123" s="1266">
        <f t="shared" si="3"/>
        <v>528526.7279096212</v>
      </c>
      <c r="I123" s="724">
        <f t="shared" si="4"/>
        <v>0</v>
      </c>
      <c r="J123" s="724"/>
      <c r="K123" s="869"/>
      <c r="L123" s="729"/>
      <c r="M123" s="869"/>
      <c r="N123" s="729"/>
      <c r="O123" s="729"/>
    </row>
    <row r="124" spans="3:15">
      <c r="C124" s="720">
        <f>IF(D94="","-",+C123+1)</f>
        <v>2033</v>
      </c>
      <c r="D124" s="673">
        <f t="shared" si="1"/>
        <v>2558420.4375</v>
      </c>
      <c r="E124" s="726">
        <f t="shared" si="5"/>
        <v>126341.75</v>
      </c>
      <c r="F124" s="673">
        <f t="shared" si="0"/>
        <v>2432078.6875</v>
      </c>
      <c r="G124" s="1263">
        <f t="shared" si="2"/>
        <v>509144.31933566357</v>
      </c>
      <c r="H124" s="1266">
        <f t="shared" si="3"/>
        <v>509144.31933566357</v>
      </c>
      <c r="I124" s="724">
        <f t="shared" si="4"/>
        <v>0</v>
      </c>
      <c r="J124" s="724"/>
      <c r="K124" s="869"/>
      <c r="L124" s="729"/>
      <c r="M124" s="869"/>
      <c r="N124" s="729"/>
      <c r="O124" s="729"/>
    </row>
    <row r="125" spans="3:15">
      <c r="C125" s="720">
        <f>IF(D94="","-",+C124+1)</f>
        <v>2034</v>
      </c>
      <c r="D125" s="673">
        <f t="shared" si="1"/>
        <v>2432078.6875</v>
      </c>
      <c r="E125" s="726">
        <f t="shared" si="5"/>
        <v>126341.75</v>
      </c>
      <c r="F125" s="673">
        <f t="shared" si="0"/>
        <v>2305736.9375</v>
      </c>
      <c r="G125" s="1263">
        <f t="shared" si="2"/>
        <v>489761.91076170589</v>
      </c>
      <c r="H125" s="1266">
        <f t="shared" si="3"/>
        <v>489761.91076170589</v>
      </c>
      <c r="I125" s="724">
        <f t="shared" si="4"/>
        <v>0</v>
      </c>
      <c r="J125" s="724"/>
      <c r="K125" s="869"/>
      <c r="L125" s="729"/>
      <c r="M125" s="869"/>
      <c r="N125" s="729"/>
      <c r="O125" s="729"/>
    </row>
    <row r="126" spans="3:15">
      <c r="C126" s="720">
        <f>IF(D94="","-",+C125+1)</f>
        <v>2035</v>
      </c>
      <c r="D126" s="673">
        <f t="shared" si="1"/>
        <v>2305736.9375</v>
      </c>
      <c r="E126" s="726">
        <f t="shared" si="5"/>
        <v>126341.75</v>
      </c>
      <c r="F126" s="673">
        <f t="shared" si="0"/>
        <v>2179395.1875</v>
      </c>
      <c r="G126" s="1263">
        <f t="shared" si="2"/>
        <v>470379.50218774826</v>
      </c>
      <c r="H126" s="1266">
        <f t="shared" si="3"/>
        <v>470379.50218774826</v>
      </c>
      <c r="I126" s="724">
        <f t="shared" si="4"/>
        <v>0</v>
      </c>
      <c r="J126" s="724"/>
      <c r="K126" s="869"/>
      <c r="L126" s="729"/>
      <c r="M126" s="869"/>
      <c r="N126" s="729"/>
      <c r="O126" s="729"/>
    </row>
    <row r="127" spans="3:15">
      <c r="C127" s="720">
        <f>IF(D94="","-",+C126+1)</f>
        <v>2036</v>
      </c>
      <c r="D127" s="673">
        <f t="shared" si="1"/>
        <v>2179395.1875</v>
      </c>
      <c r="E127" s="726">
        <f t="shared" si="5"/>
        <v>126341.75</v>
      </c>
      <c r="F127" s="673">
        <f t="shared" si="0"/>
        <v>2053053.4375</v>
      </c>
      <c r="G127" s="1263">
        <f t="shared" si="2"/>
        <v>450997.09361379064</v>
      </c>
      <c r="H127" s="1266">
        <f t="shared" si="3"/>
        <v>450997.09361379064</v>
      </c>
      <c r="I127" s="724">
        <f t="shared" si="4"/>
        <v>0</v>
      </c>
      <c r="J127" s="724"/>
      <c r="K127" s="869"/>
      <c r="L127" s="729"/>
      <c r="M127" s="869"/>
      <c r="N127" s="729"/>
      <c r="O127" s="729"/>
    </row>
    <row r="128" spans="3:15">
      <c r="C128" s="720">
        <f>IF(D94="","-",+C127+1)</f>
        <v>2037</v>
      </c>
      <c r="D128" s="673">
        <f t="shared" si="1"/>
        <v>2053053.4375</v>
      </c>
      <c r="E128" s="726">
        <f t="shared" si="5"/>
        <v>126341.75</v>
      </c>
      <c r="F128" s="673">
        <f t="shared" si="0"/>
        <v>1926711.6875</v>
      </c>
      <c r="G128" s="1264">
        <f t="shared" si="2"/>
        <v>431614.68503983296</v>
      </c>
      <c r="H128" s="1266">
        <f t="shared" si="3"/>
        <v>431614.68503983296</v>
      </c>
      <c r="I128" s="724">
        <f t="shared" si="4"/>
        <v>0</v>
      </c>
      <c r="J128" s="724"/>
      <c r="K128" s="869"/>
      <c r="L128" s="729"/>
      <c r="M128" s="869"/>
      <c r="N128" s="729"/>
      <c r="O128" s="729"/>
    </row>
    <row r="129" spans="3:15">
      <c r="C129" s="720">
        <f>IF(D94="","-",+C128+1)</f>
        <v>2038</v>
      </c>
      <c r="D129" s="673">
        <f t="shared" si="1"/>
        <v>1926711.6875</v>
      </c>
      <c r="E129" s="726">
        <f t="shared" si="5"/>
        <v>126341.75</v>
      </c>
      <c r="F129" s="673">
        <f t="shared" si="0"/>
        <v>1800369.9375</v>
      </c>
      <c r="G129" s="1263">
        <f t="shared" si="2"/>
        <v>412232.27646587533</v>
      </c>
      <c r="H129" s="1266">
        <f t="shared" si="3"/>
        <v>412232.27646587533</v>
      </c>
      <c r="I129" s="724">
        <f t="shared" si="4"/>
        <v>0</v>
      </c>
      <c r="J129" s="724"/>
      <c r="K129" s="869"/>
      <c r="L129" s="729"/>
      <c r="M129" s="869"/>
      <c r="N129" s="729"/>
      <c r="O129" s="729"/>
    </row>
    <row r="130" spans="3:15">
      <c r="C130" s="720">
        <f>IF(D94="","-",+C129+1)</f>
        <v>2039</v>
      </c>
      <c r="D130" s="673">
        <f t="shared" si="1"/>
        <v>1800369.9375</v>
      </c>
      <c r="E130" s="726">
        <f t="shared" si="5"/>
        <v>126341.75</v>
      </c>
      <c r="F130" s="673">
        <f t="shared" si="0"/>
        <v>1674028.1875</v>
      </c>
      <c r="G130" s="1263">
        <f t="shared" si="2"/>
        <v>392849.86789191765</v>
      </c>
      <c r="H130" s="1266">
        <f t="shared" si="3"/>
        <v>392849.86789191765</v>
      </c>
      <c r="I130" s="724">
        <f t="shared" si="4"/>
        <v>0</v>
      </c>
      <c r="J130" s="724"/>
      <c r="K130" s="869"/>
      <c r="L130" s="729"/>
      <c r="M130" s="869"/>
      <c r="N130" s="729"/>
      <c r="O130" s="729"/>
    </row>
    <row r="131" spans="3:15">
      <c r="C131" s="720">
        <f>IF(D94="","-",+C130+1)</f>
        <v>2040</v>
      </c>
      <c r="D131" s="673">
        <f t="shared" si="1"/>
        <v>1674028.1875</v>
      </c>
      <c r="E131" s="726">
        <f t="shared" si="5"/>
        <v>126341.75</v>
      </c>
      <c r="F131" s="673">
        <f t="shared" si="0"/>
        <v>1547686.4375</v>
      </c>
      <c r="G131" s="1263">
        <f t="shared" si="2"/>
        <v>373467.45931796002</v>
      </c>
      <c r="H131" s="1266">
        <f t="shared" si="3"/>
        <v>373467.45931796002</v>
      </c>
      <c r="I131" s="724">
        <f t="shared" si="4"/>
        <v>0</v>
      </c>
      <c r="J131" s="724"/>
      <c r="K131" s="869"/>
      <c r="L131" s="729"/>
      <c r="M131" s="869"/>
      <c r="N131" s="729"/>
      <c r="O131" s="729"/>
    </row>
    <row r="132" spans="3:15">
      <c r="C132" s="720">
        <f>IF(D94="","-",+C131+1)</f>
        <v>2041</v>
      </c>
      <c r="D132" s="673">
        <f t="shared" si="1"/>
        <v>1547686.4375</v>
      </c>
      <c r="E132" s="726">
        <f t="shared" si="5"/>
        <v>126341.75</v>
      </c>
      <c r="F132" s="673">
        <f t="shared" si="0"/>
        <v>1421344.6875</v>
      </c>
      <c r="G132" s="1263">
        <f t="shared" si="2"/>
        <v>354085.05074400234</v>
      </c>
      <c r="H132" s="1266">
        <f t="shared" si="3"/>
        <v>354085.05074400234</v>
      </c>
      <c r="I132" s="724">
        <f t="shared" si="4"/>
        <v>0</v>
      </c>
      <c r="J132" s="724"/>
      <c r="K132" s="869"/>
      <c r="L132" s="729"/>
      <c r="M132" s="869"/>
      <c r="N132" s="729"/>
      <c r="O132" s="729"/>
    </row>
    <row r="133" spans="3:15">
      <c r="C133" s="720">
        <f>IF(D94="","-",+C132+1)</f>
        <v>2042</v>
      </c>
      <c r="D133" s="673">
        <f t="shared" si="1"/>
        <v>1421344.6875</v>
      </c>
      <c r="E133" s="726">
        <f t="shared" si="5"/>
        <v>126341.75</v>
      </c>
      <c r="F133" s="673">
        <f t="shared" si="0"/>
        <v>1295002.9375</v>
      </c>
      <c r="G133" s="1263">
        <f t="shared" si="2"/>
        <v>334702.64217004471</v>
      </c>
      <c r="H133" s="1266">
        <f t="shared" si="3"/>
        <v>334702.64217004471</v>
      </c>
      <c r="I133" s="724">
        <f t="shared" si="4"/>
        <v>0</v>
      </c>
      <c r="J133" s="724"/>
      <c r="K133" s="869"/>
      <c r="L133" s="729"/>
      <c r="M133" s="869"/>
      <c r="N133" s="729"/>
      <c r="O133" s="729"/>
    </row>
    <row r="134" spans="3:15">
      <c r="C134" s="720">
        <f>IF(D94="","-",+C133+1)</f>
        <v>2043</v>
      </c>
      <c r="D134" s="673">
        <f t="shared" si="1"/>
        <v>1295002.9375</v>
      </c>
      <c r="E134" s="726">
        <f t="shared" si="5"/>
        <v>126341.75</v>
      </c>
      <c r="F134" s="673">
        <f t="shared" si="0"/>
        <v>1168661.1875</v>
      </c>
      <c r="G134" s="1263">
        <f t="shared" si="2"/>
        <v>315320.23359608708</v>
      </c>
      <c r="H134" s="1266">
        <f t="shared" si="3"/>
        <v>315320.23359608708</v>
      </c>
      <c r="I134" s="724">
        <f t="shared" si="4"/>
        <v>0</v>
      </c>
      <c r="J134" s="724"/>
      <c r="K134" s="869"/>
      <c r="L134" s="729"/>
      <c r="M134" s="869"/>
      <c r="N134" s="729"/>
      <c r="O134" s="729"/>
    </row>
    <row r="135" spans="3:15">
      <c r="C135" s="720">
        <f>IF(D94="","-",+C134+1)</f>
        <v>2044</v>
      </c>
      <c r="D135" s="673">
        <f t="shared" si="1"/>
        <v>1168661.1875</v>
      </c>
      <c r="E135" s="726">
        <f t="shared" si="5"/>
        <v>126341.75</v>
      </c>
      <c r="F135" s="673">
        <f t="shared" si="0"/>
        <v>1042319.4375</v>
      </c>
      <c r="G135" s="1263">
        <f t="shared" si="2"/>
        <v>295937.82502212946</v>
      </c>
      <c r="H135" s="1266">
        <f t="shared" si="3"/>
        <v>295937.82502212946</v>
      </c>
      <c r="I135" s="724">
        <f t="shared" si="4"/>
        <v>0</v>
      </c>
      <c r="J135" s="724"/>
      <c r="K135" s="869"/>
      <c r="L135" s="729"/>
      <c r="M135" s="869"/>
      <c r="N135" s="729"/>
      <c r="O135" s="729"/>
    </row>
    <row r="136" spans="3:15">
      <c r="C136" s="720">
        <f>IF(D94="","-",+C135+1)</f>
        <v>2045</v>
      </c>
      <c r="D136" s="673">
        <f t="shared" si="1"/>
        <v>1042319.4375</v>
      </c>
      <c r="E136" s="726">
        <f t="shared" si="5"/>
        <v>126341.75</v>
      </c>
      <c r="F136" s="673">
        <f t="shared" si="0"/>
        <v>915977.6875</v>
      </c>
      <c r="G136" s="1263">
        <f t="shared" si="2"/>
        <v>276555.41644817177</v>
      </c>
      <c r="H136" s="1266">
        <f t="shared" si="3"/>
        <v>276555.41644817177</v>
      </c>
      <c r="I136" s="724">
        <f t="shared" si="4"/>
        <v>0</v>
      </c>
      <c r="J136" s="724"/>
      <c r="K136" s="869"/>
      <c r="L136" s="729"/>
      <c r="M136" s="869"/>
      <c r="N136" s="729"/>
      <c r="O136" s="729"/>
    </row>
    <row r="137" spans="3:15">
      <c r="C137" s="720">
        <f>IF(D94="","-",+C136+1)</f>
        <v>2046</v>
      </c>
      <c r="D137" s="673">
        <f t="shared" si="1"/>
        <v>915977.6875</v>
      </c>
      <c r="E137" s="726">
        <f t="shared" si="5"/>
        <v>126341.75</v>
      </c>
      <c r="F137" s="673">
        <f t="shared" si="0"/>
        <v>789635.9375</v>
      </c>
      <c r="G137" s="1263">
        <f t="shared" si="2"/>
        <v>257173.00787421415</v>
      </c>
      <c r="H137" s="1266">
        <f t="shared" si="3"/>
        <v>257173.00787421415</v>
      </c>
      <c r="I137" s="724">
        <f t="shared" si="4"/>
        <v>0</v>
      </c>
      <c r="J137" s="724"/>
      <c r="K137" s="869"/>
      <c r="L137" s="729"/>
      <c r="M137" s="869"/>
      <c r="N137" s="729"/>
      <c r="O137" s="729"/>
    </row>
    <row r="138" spans="3:15">
      <c r="C138" s="720">
        <f>IF(D94="","-",+C137+1)</f>
        <v>2047</v>
      </c>
      <c r="D138" s="673">
        <f t="shared" si="1"/>
        <v>789635.9375</v>
      </c>
      <c r="E138" s="726">
        <f t="shared" si="5"/>
        <v>126341.75</v>
      </c>
      <c r="F138" s="673">
        <f t="shared" si="0"/>
        <v>663294.1875</v>
      </c>
      <c r="G138" s="1263">
        <f t="shared" si="2"/>
        <v>237790.59930025646</v>
      </c>
      <c r="H138" s="1266">
        <f t="shared" si="3"/>
        <v>237790.59930025646</v>
      </c>
      <c r="I138" s="724">
        <f t="shared" si="4"/>
        <v>0</v>
      </c>
      <c r="J138" s="724"/>
      <c r="K138" s="869"/>
      <c r="L138" s="729"/>
      <c r="M138" s="869"/>
      <c r="N138" s="729"/>
      <c r="O138" s="729"/>
    </row>
    <row r="139" spans="3:15">
      <c r="C139" s="720">
        <f>IF(D94="","-",+C138+1)</f>
        <v>2048</v>
      </c>
      <c r="D139" s="673">
        <f t="shared" si="1"/>
        <v>663294.1875</v>
      </c>
      <c r="E139" s="726">
        <f t="shared" si="5"/>
        <v>126341.75</v>
      </c>
      <c r="F139" s="673">
        <f t="shared" si="0"/>
        <v>536952.4375</v>
      </c>
      <c r="G139" s="1263">
        <f t="shared" si="2"/>
        <v>218408.19072629884</v>
      </c>
      <c r="H139" s="1266">
        <f t="shared" si="3"/>
        <v>218408.19072629884</v>
      </c>
      <c r="I139" s="724">
        <f t="shared" si="4"/>
        <v>0</v>
      </c>
      <c r="J139" s="724"/>
      <c r="K139" s="869"/>
      <c r="L139" s="729"/>
      <c r="M139" s="869"/>
      <c r="N139" s="729"/>
      <c r="O139" s="729"/>
    </row>
    <row r="140" spans="3:15">
      <c r="C140" s="720">
        <f>IF(D94="","-",+C139+1)</f>
        <v>2049</v>
      </c>
      <c r="D140" s="673">
        <f t="shared" si="1"/>
        <v>536952.4375</v>
      </c>
      <c r="E140" s="726">
        <f t="shared" si="5"/>
        <v>126341.75</v>
      </c>
      <c r="F140" s="673">
        <f t="shared" si="0"/>
        <v>410610.6875</v>
      </c>
      <c r="G140" s="1263">
        <f t="shared" si="2"/>
        <v>199025.78215234118</v>
      </c>
      <c r="H140" s="1266">
        <f t="shared" si="3"/>
        <v>199025.78215234118</v>
      </c>
      <c r="I140" s="724">
        <f t="shared" si="4"/>
        <v>0</v>
      </c>
      <c r="J140" s="724"/>
      <c r="K140" s="869"/>
      <c r="L140" s="729"/>
      <c r="M140" s="869"/>
      <c r="N140" s="729"/>
      <c r="O140" s="729"/>
    </row>
    <row r="141" spans="3:15">
      <c r="C141" s="720">
        <f>IF(D94="","-",+C140+1)</f>
        <v>2050</v>
      </c>
      <c r="D141" s="673">
        <f t="shared" si="1"/>
        <v>410610.6875</v>
      </c>
      <c r="E141" s="726">
        <f t="shared" si="5"/>
        <v>126341.75</v>
      </c>
      <c r="F141" s="673">
        <f t="shared" si="0"/>
        <v>284268.9375</v>
      </c>
      <c r="G141" s="1263">
        <f t="shared" si="2"/>
        <v>179643.37357838353</v>
      </c>
      <c r="H141" s="1266">
        <f t="shared" si="3"/>
        <v>179643.37357838353</v>
      </c>
      <c r="I141" s="724">
        <f t="shared" si="4"/>
        <v>0</v>
      </c>
      <c r="J141" s="724"/>
      <c r="K141" s="869"/>
      <c r="L141" s="729"/>
      <c r="M141" s="869"/>
      <c r="N141" s="729"/>
      <c r="O141" s="729"/>
    </row>
    <row r="142" spans="3:15">
      <c r="C142" s="720">
        <f>IF(D94="","-",+C141+1)</f>
        <v>2051</v>
      </c>
      <c r="D142" s="673">
        <f t="shared" si="1"/>
        <v>284268.9375</v>
      </c>
      <c r="E142" s="726">
        <f t="shared" si="5"/>
        <v>126341.75</v>
      </c>
      <c r="F142" s="673">
        <f t="shared" si="0"/>
        <v>157927.1875</v>
      </c>
      <c r="G142" s="1263">
        <f t="shared" si="2"/>
        <v>160260.9650044259</v>
      </c>
      <c r="H142" s="1266">
        <f t="shared" si="3"/>
        <v>160260.9650044259</v>
      </c>
      <c r="I142" s="724">
        <f t="shared" si="4"/>
        <v>0</v>
      </c>
      <c r="J142" s="724"/>
      <c r="K142" s="869"/>
      <c r="L142" s="729"/>
      <c r="M142" s="869"/>
      <c r="N142" s="729"/>
      <c r="O142" s="729"/>
    </row>
    <row r="143" spans="3:15">
      <c r="C143" s="720">
        <f>IF(D94="","-",+C142+1)</f>
        <v>2052</v>
      </c>
      <c r="D143" s="673">
        <f t="shared" si="1"/>
        <v>157927.1875</v>
      </c>
      <c r="E143" s="726">
        <f t="shared" si="5"/>
        <v>126341.75</v>
      </c>
      <c r="F143" s="673">
        <f t="shared" si="0"/>
        <v>31585.4375</v>
      </c>
      <c r="G143" s="1263">
        <f t="shared" si="2"/>
        <v>140878.55643046825</v>
      </c>
      <c r="H143" s="1266">
        <f t="shared" si="3"/>
        <v>140878.55643046825</v>
      </c>
      <c r="I143" s="724">
        <f t="shared" si="4"/>
        <v>0</v>
      </c>
      <c r="J143" s="724"/>
      <c r="K143" s="869"/>
      <c r="L143" s="729"/>
      <c r="M143" s="869"/>
      <c r="N143" s="729"/>
      <c r="O143" s="729"/>
    </row>
    <row r="144" spans="3:15">
      <c r="C144" s="720">
        <f>IF(D94="","-",+C143+1)</f>
        <v>2053</v>
      </c>
      <c r="D144" s="673">
        <f t="shared" si="1"/>
        <v>31585.4375</v>
      </c>
      <c r="E144" s="726">
        <f t="shared" si="5"/>
        <v>31585.4375</v>
      </c>
      <c r="F144" s="673">
        <f t="shared" si="0"/>
        <v>0</v>
      </c>
      <c r="G144" s="1263">
        <f t="shared" si="2"/>
        <v>34008.238571744703</v>
      </c>
      <c r="H144" s="1266">
        <f t="shared" si="3"/>
        <v>34008.238571744703</v>
      </c>
      <c r="I144" s="724">
        <f t="shared" si="4"/>
        <v>0</v>
      </c>
      <c r="J144" s="724"/>
      <c r="K144" s="869"/>
      <c r="L144" s="729"/>
      <c r="M144" s="869"/>
      <c r="N144" s="729"/>
      <c r="O144" s="729"/>
    </row>
    <row r="145" spans="3:15">
      <c r="C145" s="720">
        <f>IF(D94="","-",+C144+1)</f>
        <v>2054</v>
      </c>
      <c r="D145" s="673">
        <f t="shared" si="1"/>
        <v>0</v>
      </c>
      <c r="E145" s="726">
        <f t="shared" si="5"/>
        <v>0</v>
      </c>
      <c r="F145" s="673">
        <f t="shared" si="0"/>
        <v>0</v>
      </c>
      <c r="G145" s="1263">
        <f t="shared" si="2"/>
        <v>0</v>
      </c>
      <c r="H145" s="1266">
        <f t="shared" si="3"/>
        <v>0</v>
      </c>
      <c r="I145" s="724">
        <f t="shared" si="4"/>
        <v>0</v>
      </c>
      <c r="J145" s="724"/>
      <c r="K145" s="869"/>
      <c r="L145" s="729"/>
      <c r="M145" s="869"/>
      <c r="N145" s="729"/>
      <c r="O145" s="729"/>
    </row>
    <row r="146" spans="3:15">
      <c r="C146" s="720">
        <f>IF(D94="","-",+C145+1)</f>
        <v>2055</v>
      </c>
      <c r="D146" s="673">
        <f t="shared" si="1"/>
        <v>0</v>
      </c>
      <c r="E146" s="726">
        <f t="shared" si="5"/>
        <v>0</v>
      </c>
      <c r="F146" s="673">
        <f t="shared" si="0"/>
        <v>0</v>
      </c>
      <c r="G146" s="1263">
        <f t="shared" si="2"/>
        <v>0</v>
      </c>
      <c r="H146" s="1266">
        <f t="shared" si="3"/>
        <v>0</v>
      </c>
      <c r="I146" s="724">
        <f t="shared" si="4"/>
        <v>0</v>
      </c>
      <c r="J146" s="724"/>
      <c r="K146" s="869"/>
      <c r="L146" s="729"/>
      <c r="M146" s="869"/>
      <c r="N146" s="729"/>
      <c r="O146" s="729"/>
    </row>
    <row r="147" spans="3:15">
      <c r="C147" s="720">
        <f>IF(D94="","-",+C146+1)</f>
        <v>2056</v>
      </c>
      <c r="D147" s="673">
        <f t="shared" si="1"/>
        <v>0</v>
      </c>
      <c r="E147" s="726">
        <f t="shared" si="5"/>
        <v>0</v>
      </c>
      <c r="F147" s="673">
        <f t="shared" si="0"/>
        <v>0</v>
      </c>
      <c r="G147" s="1263" t="s">
        <v>114</v>
      </c>
      <c r="H147" s="1266">
        <f t="shared" si="3"/>
        <v>0</v>
      </c>
      <c r="I147" s="724">
        <v>0</v>
      </c>
      <c r="J147" s="724"/>
      <c r="K147" s="869"/>
      <c r="L147" s="729"/>
      <c r="M147" s="869"/>
      <c r="N147" s="729"/>
      <c r="O147" s="729"/>
    </row>
    <row r="148" spans="3:15">
      <c r="C148" s="720">
        <f>IF(D94="","-",+C147+1)</f>
        <v>2057</v>
      </c>
      <c r="D148" s="673">
        <f t="shared" si="1"/>
        <v>0</v>
      </c>
      <c r="E148" s="726">
        <f t="shared" si="5"/>
        <v>0</v>
      </c>
      <c r="F148" s="673">
        <f t="shared" si="0"/>
        <v>0</v>
      </c>
      <c r="G148" s="1263">
        <f t="shared" si="2"/>
        <v>0</v>
      </c>
      <c r="H148" s="1266">
        <f t="shared" si="3"/>
        <v>0</v>
      </c>
      <c r="I148" s="724">
        <f t="shared" si="4"/>
        <v>0</v>
      </c>
      <c r="J148" s="724"/>
      <c r="K148" s="869"/>
      <c r="L148" s="729"/>
      <c r="M148" s="869"/>
      <c r="N148" s="729"/>
      <c r="O148" s="729"/>
    </row>
    <row r="149" spans="3:15">
      <c r="C149" s="720">
        <f>IF(D94="","-",+C148+1)</f>
        <v>2058</v>
      </c>
      <c r="D149" s="673">
        <f t="shared" si="1"/>
        <v>0</v>
      </c>
      <c r="E149" s="726">
        <f t="shared" si="5"/>
        <v>0</v>
      </c>
      <c r="F149" s="673">
        <f t="shared" si="0"/>
        <v>0</v>
      </c>
      <c r="G149" s="1263">
        <f t="shared" si="2"/>
        <v>0</v>
      </c>
      <c r="H149" s="1266">
        <f t="shared" si="3"/>
        <v>0</v>
      </c>
      <c r="I149" s="724">
        <f t="shared" si="4"/>
        <v>0</v>
      </c>
      <c r="J149" s="724"/>
      <c r="K149" s="869"/>
      <c r="L149" s="729"/>
      <c r="M149" s="869"/>
      <c r="N149" s="729"/>
      <c r="O149" s="729"/>
    </row>
    <row r="150" spans="3:15">
      <c r="C150" s="720">
        <f>IF(D94="","-",+C149+1)</f>
        <v>2059</v>
      </c>
      <c r="D150" s="673">
        <f t="shared" si="1"/>
        <v>0</v>
      </c>
      <c r="E150" s="726">
        <f t="shared" si="5"/>
        <v>0</v>
      </c>
      <c r="F150" s="673">
        <f t="shared" si="0"/>
        <v>0</v>
      </c>
      <c r="G150" s="1263">
        <f t="shared" si="2"/>
        <v>0</v>
      </c>
      <c r="H150" s="1266">
        <f t="shared" si="3"/>
        <v>0</v>
      </c>
      <c r="I150" s="724">
        <f t="shared" si="4"/>
        <v>0</v>
      </c>
      <c r="J150" s="724"/>
      <c r="K150" s="869"/>
      <c r="L150" s="729"/>
      <c r="M150" s="869"/>
      <c r="N150" s="729"/>
      <c r="O150" s="729"/>
    </row>
    <row r="151" spans="3:15">
      <c r="C151" s="720">
        <f>IF(D94="","-",+C150+1)</f>
        <v>2060</v>
      </c>
      <c r="D151" s="673">
        <f t="shared" si="1"/>
        <v>0</v>
      </c>
      <c r="E151" s="726">
        <f t="shared" si="5"/>
        <v>0</v>
      </c>
      <c r="F151" s="673">
        <f t="shared" si="0"/>
        <v>0</v>
      </c>
      <c r="G151" s="1263">
        <f t="shared" si="2"/>
        <v>0</v>
      </c>
      <c r="H151" s="1266">
        <f t="shared" si="3"/>
        <v>0</v>
      </c>
      <c r="I151" s="724">
        <f t="shared" si="4"/>
        <v>0</v>
      </c>
      <c r="J151" s="724"/>
      <c r="K151" s="869"/>
      <c r="L151" s="729"/>
      <c r="M151" s="869"/>
      <c r="N151" s="729"/>
      <c r="O151" s="729"/>
    </row>
    <row r="152" spans="3:15">
      <c r="C152" s="720">
        <f>IF(D94="","-",+C151+1)</f>
        <v>2061</v>
      </c>
      <c r="D152" s="673">
        <f t="shared" si="1"/>
        <v>0</v>
      </c>
      <c r="E152" s="726">
        <f t="shared" si="5"/>
        <v>0</v>
      </c>
      <c r="F152" s="673">
        <f t="shared" si="0"/>
        <v>0</v>
      </c>
      <c r="G152" s="1263">
        <f t="shared" si="2"/>
        <v>0</v>
      </c>
      <c r="H152" s="1266">
        <f t="shared" si="3"/>
        <v>0</v>
      </c>
      <c r="I152" s="724">
        <f t="shared" si="4"/>
        <v>0</v>
      </c>
      <c r="J152" s="724"/>
      <c r="K152" s="869"/>
      <c r="L152" s="729"/>
      <c r="M152" s="869"/>
      <c r="N152" s="729"/>
      <c r="O152" s="729"/>
    </row>
    <row r="153" spans="3:15">
      <c r="C153" s="720">
        <f>IF(D94="","-",+C152+1)</f>
        <v>2062</v>
      </c>
      <c r="D153" s="673">
        <f t="shared" si="1"/>
        <v>0</v>
      </c>
      <c r="E153" s="726">
        <f t="shared" si="5"/>
        <v>0</v>
      </c>
      <c r="F153" s="673">
        <f t="shared" si="0"/>
        <v>0</v>
      </c>
      <c r="G153" s="1263">
        <f t="shared" si="2"/>
        <v>0</v>
      </c>
      <c r="H153" s="1266">
        <f t="shared" si="3"/>
        <v>0</v>
      </c>
      <c r="I153" s="724">
        <f t="shared" si="4"/>
        <v>0</v>
      </c>
      <c r="J153" s="724"/>
      <c r="K153" s="869"/>
      <c r="L153" s="729"/>
      <c r="M153" s="869"/>
      <c r="N153" s="729"/>
      <c r="O153" s="729"/>
    </row>
    <row r="154" spans="3:15">
      <c r="C154" s="720">
        <f>IF(D94="","-",+C153+1)</f>
        <v>2063</v>
      </c>
      <c r="D154" s="673">
        <f t="shared" si="1"/>
        <v>0</v>
      </c>
      <c r="E154" s="726">
        <f t="shared" si="5"/>
        <v>0</v>
      </c>
      <c r="F154" s="673">
        <f t="shared" si="0"/>
        <v>0</v>
      </c>
      <c r="G154" s="1263">
        <f t="shared" si="2"/>
        <v>0</v>
      </c>
      <c r="H154" s="1266">
        <f t="shared" si="3"/>
        <v>0</v>
      </c>
      <c r="I154" s="724">
        <f t="shared" si="4"/>
        <v>0</v>
      </c>
      <c r="J154" s="724"/>
      <c r="K154" s="869"/>
      <c r="L154" s="729"/>
      <c r="M154" s="869"/>
      <c r="N154" s="729"/>
      <c r="O154" s="729"/>
    </row>
    <row r="155" spans="3:15">
      <c r="C155" s="720">
        <f>IF(D94="","-",+C154+1)</f>
        <v>2064</v>
      </c>
      <c r="D155" s="673">
        <f t="shared" si="1"/>
        <v>0</v>
      </c>
      <c r="E155" s="726">
        <f t="shared" si="5"/>
        <v>0</v>
      </c>
      <c r="F155" s="673">
        <f t="shared" si="0"/>
        <v>0</v>
      </c>
      <c r="G155" s="1263">
        <f t="shared" si="2"/>
        <v>0</v>
      </c>
      <c r="H155" s="1266">
        <f t="shared" si="3"/>
        <v>0</v>
      </c>
      <c r="I155" s="724">
        <f t="shared" si="4"/>
        <v>0</v>
      </c>
      <c r="J155" s="724"/>
      <c r="K155" s="869"/>
      <c r="L155" s="729"/>
      <c r="M155" s="869"/>
      <c r="N155" s="729"/>
      <c r="O155" s="729"/>
    </row>
    <row r="156" spans="3:15">
      <c r="C156" s="720">
        <f>IF(D94="","-",+C155+1)</f>
        <v>2065</v>
      </c>
      <c r="D156" s="673">
        <f t="shared" si="1"/>
        <v>0</v>
      </c>
      <c r="E156" s="726">
        <f t="shared" si="5"/>
        <v>0</v>
      </c>
      <c r="F156" s="673">
        <f t="shared" si="0"/>
        <v>0</v>
      </c>
      <c r="G156" s="1263">
        <f t="shared" si="2"/>
        <v>0</v>
      </c>
      <c r="H156" s="1266">
        <f t="shared" si="3"/>
        <v>0</v>
      </c>
      <c r="I156" s="724">
        <f t="shared" si="4"/>
        <v>0</v>
      </c>
      <c r="J156" s="724"/>
      <c r="K156" s="869"/>
      <c r="L156" s="729"/>
      <c r="M156" s="869"/>
      <c r="N156" s="729"/>
      <c r="O156" s="729"/>
    </row>
    <row r="157" spans="3:15">
      <c r="C157" s="720">
        <f>IF(D94="","-",+C156+1)</f>
        <v>2066</v>
      </c>
      <c r="D157" s="673">
        <f t="shared" si="1"/>
        <v>0</v>
      </c>
      <c r="E157" s="726">
        <f t="shared" si="5"/>
        <v>0</v>
      </c>
      <c r="F157" s="673">
        <f t="shared" si="0"/>
        <v>0</v>
      </c>
      <c r="G157" s="1263">
        <f t="shared" si="2"/>
        <v>0</v>
      </c>
      <c r="H157" s="1266">
        <f t="shared" si="3"/>
        <v>0</v>
      </c>
      <c r="I157" s="724">
        <f t="shared" si="4"/>
        <v>0</v>
      </c>
      <c r="J157" s="724"/>
      <c r="K157" s="869"/>
      <c r="L157" s="729"/>
      <c r="M157" s="869"/>
      <c r="N157" s="729"/>
      <c r="O157" s="729"/>
    </row>
    <row r="158" spans="3:15">
      <c r="C158" s="720">
        <f>IF(D94="","-",+C157+1)</f>
        <v>2067</v>
      </c>
      <c r="D158" s="673">
        <f t="shared" si="1"/>
        <v>0</v>
      </c>
      <c r="E158" s="726">
        <f t="shared" si="5"/>
        <v>0</v>
      </c>
      <c r="F158" s="673">
        <f t="shared" si="0"/>
        <v>0</v>
      </c>
      <c r="G158" s="1263">
        <f t="shared" si="2"/>
        <v>0</v>
      </c>
      <c r="H158" s="1266">
        <f t="shared" si="3"/>
        <v>0</v>
      </c>
      <c r="I158" s="724">
        <f t="shared" si="4"/>
        <v>0</v>
      </c>
      <c r="J158" s="724"/>
      <c r="K158" s="869"/>
      <c r="L158" s="729"/>
      <c r="M158" s="869"/>
      <c r="N158" s="729"/>
      <c r="O158" s="729"/>
    </row>
    <row r="159" spans="3:15" ht="13.5" thickBot="1">
      <c r="C159" s="730">
        <f>IF(D94="","-",+C158+1)</f>
        <v>2068</v>
      </c>
      <c r="D159" s="731">
        <f t="shared" si="1"/>
        <v>0</v>
      </c>
      <c r="E159" s="732">
        <f t="shared" si="5"/>
        <v>0</v>
      </c>
      <c r="F159" s="731">
        <f t="shared" si="0"/>
        <v>0</v>
      </c>
      <c r="G159" s="1274">
        <f t="shared" si="2"/>
        <v>0</v>
      </c>
      <c r="H159" s="1274">
        <f t="shared" si="3"/>
        <v>0</v>
      </c>
      <c r="I159" s="734">
        <f t="shared" si="4"/>
        <v>0</v>
      </c>
      <c r="J159" s="724"/>
      <c r="K159" s="870"/>
      <c r="L159" s="736"/>
      <c r="M159" s="870"/>
      <c r="N159" s="736"/>
      <c r="O159" s="736"/>
    </row>
    <row r="160" spans="3:15">
      <c r="C160" s="673" t="s">
        <v>288</v>
      </c>
      <c r="D160" s="1242"/>
      <c r="E160" s="673"/>
      <c r="F160" s="1242"/>
      <c r="G160" s="1242">
        <f>SUM(G100:G159)</f>
        <v>24534414.993904538</v>
      </c>
      <c r="H160" s="1242">
        <f>SUM(H100:H159)</f>
        <v>24534414.993904538</v>
      </c>
      <c r="I160" s="1242">
        <f>SUM(I100:I159)</f>
        <v>0</v>
      </c>
      <c r="J160" s="1242"/>
      <c r="K160" s="1242"/>
      <c r="L160" s="1242"/>
      <c r="M160" s="1242"/>
      <c r="N160" s="1242"/>
      <c r="O160" s="542"/>
    </row>
    <row r="161" spans="1:16">
      <c r="D161" s="563"/>
      <c r="E161" s="542"/>
      <c r="F161" s="542"/>
      <c r="G161" s="542"/>
      <c r="H161" s="1241"/>
      <c r="I161" s="1241"/>
      <c r="J161" s="1242"/>
      <c r="K161" s="1241"/>
      <c r="L161" s="1241"/>
      <c r="M161" s="1241"/>
      <c r="N161" s="1241"/>
      <c r="O161" s="542"/>
    </row>
    <row r="162" spans="1:16">
      <c r="C162" s="542" t="s">
        <v>595</v>
      </c>
      <c r="D162" s="563"/>
      <c r="E162" s="542"/>
      <c r="F162" s="542"/>
      <c r="G162" s="542"/>
      <c r="H162" s="1241"/>
      <c r="I162" s="1241"/>
      <c r="J162" s="1242"/>
      <c r="K162" s="1241"/>
      <c r="L162" s="1241"/>
      <c r="M162" s="1241"/>
      <c r="N162" s="1241"/>
      <c r="O162" s="542"/>
    </row>
    <row r="163" spans="1:16">
      <c r="C163" s="542"/>
      <c r="D163" s="563"/>
      <c r="E163" s="542"/>
      <c r="F163" s="542"/>
      <c r="G163" s="542"/>
      <c r="H163" s="1241"/>
      <c r="I163" s="1241"/>
      <c r="J163" s="1242"/>
      <c r="K163" s="1241"/>
      <c r="L163" s="1241"/>
      <c r="M163" s="1241"/>
      <c r="N163" s="1241"/>
      <c r="O163" s="542"/>
    </row>
    <row r="164" spans="1:16">
      <c r="C164" s="684" t="s">
        <v>934</v>
      </c>
      <c r="D164" s="673"/>
      <c r="E164" s="673"/>
      <c r="F164" s="673"/>
      <c r="G164" s="1297"/>
      <c r="H164" s="1242"/>
      <c r="I164" s="674"/>
      <c r="J164" s="674"/>
      <c r="K164" s="674"/>
      <c r="L164" s="1298"/>
      <c r="M164" s="674"/>
      <c r="N164" s="674"/>
      <c r="O164" s="542"/>
    </row>
    <row r="165" spans="1:16">
      <c r="C165" s="684" t="s">
        <v>476</v>
      </c>
      <c r="D165" s="673"/>
      <c r="E165" s="673"/>
      <c r="F165" s="673"/>
      <c r="G165" s="1242"/>
      <c r="H165" s="1242"/>
      <c r="I165" s="674"/>
      <c r="J165" s="674"/>
      <c r="K165" s="674"/>
      <c r="L165" s="674"/>
      <c r="M165" s="674"/>
      <c r="N165" s="674"/>
      <c r="O165" s="542"/>
    </row>
    <row r="166" spans="1:16">
      <c r="C166" s="672" t="s">
        <v>289</v>
      </c>
      <c r="D166" s="673"/>
      <c r="E166" s="673"/>
      <c r="F166" s="673"/>
      <c r="G166" s="1242"/>
      <c r="H166" s="1242"/>
      <c r="I166" s="674"/>
      <c r="J166" s="674"/>
      <c r="K166" s="674"/>
      <c r="L166" s="674"/>
      <c r="M166" s="674"/>
      <c r="N166" s="674"/>
      <c r="O166" s="542"/>
    </row>
    <row r="167" spans="1:16" ht="12.75" customHeight="1">
      <c r="C167" s="672"/>
      <c r="D167" s="673"/>
      <c r="E167" s="673"/>
      <c r="F167" s="673"/>
      <c r="G167" s="1242"/>
      <c r="H167" s="1242"/>
      <c r="I167" s="674"/>
      <c r="J167" s="674"/>
      <c r="K167" s="674"/>
      <c r="L167" s="674"/>
      <c r="M167" s="674"/>
      <c r="N167" s="674"/>
      <c r="O167" s="542"/>
    </row>
    <row r="168" spans="1:16">
      <c r="C168" s="1701" t="s">
        <v>460</v>
      </c>
      <c r="D168" s="1701"/>
      <c r="E168" s="1701"/>
      <c r="F168" s="1701"/>
      <c r="G168" s="1701"/>
      <c r="H168" s="1701"/>
      <c r="I168" s="1701"/>
      <c r="J168" s="1701"/>
      <c r="K168" s="1701"/>
      <c r="L168" s="1701"/>
      <c r="M168" s="1701"/>
      <c r="N168" s="1701"/>
      <c r="O168" s="1701"/>
    </row>
    <row r="169" spans="1:16">
      <c r="C169" s="1701"/>
      <c r="D169" s="1701"/>
      <c r="E169" s="1701"/>
      <c r="F169" s="1701"/>
      <c r="G169" s="1701"/>
      <c r="H169" s="1701"/>
      <c r="I169" s="1701"/>
      <c r="J169" s="1701"/>
      <c r="K169" s="1701"/>
      <c r="L169" s="1701"/>
      <c r="M169" s="1701"/>
      <c r="N169" s="1701"/>
      <c r="O169" s="1701"/>
    </row>
    <row r="170" spans="1:16">
      <c r="H170" s="1275"/>
    </row>
    <row r="171" spans="1:16" ht="20.25">
      <c r="A171" s="675" t="s">
        <v>931</v>
      </c>
      <c r="B171" s="576"/>
      <c r="C171" s="655"/>
      <c r="D171" s="563"/>
      <c r="E171" s="542"/>
      <c r="F171" s="645"/>
      <c r="G171" s="542"/>
      <c r="H171" s="1241"/>
      <c r="K171" s="676"/>
      <c r="L171" s="676"/>
      <c r="M171" s="676"/>
      <c r="N171" s="591" t="str">
        <f>"Page "&amp;SUM(P$6:P171)&amp;" of "</f>
        <v xml:space="preserve">Page 2 of </v>
      </c>
      <c r="O171" s="592">
        <f>COUNT(P$6:P$59579)</f>
        <v>22</v>
      </c>
      <c r="P171" s="542">
        <v>1</v>
      </c>
    </row>
    <row r="172" spans="1:16">
      <c r="B172" s="576"/>
      <c r="C172" s="542"/>
      <c r="D172" s="563"/>
      <c r="E172" s="542"/>
      <c r="F172" s="542"/>
      <c r="G172" s="542"/>
      <c r="H172" s="1241"/>
      <c r="I172" s="542"/>
      <c r="J172" s="588"/>
      <c r="K172" s="542"/>
      <c r="L172" s="542"/>
      <c r="M172" s="542"/>
      <c r="N172" s="542"/>
      <c r="O172" s="542"/>
    </row>
    <row r="173" spans="1:16" ht="18">
      <c r="B173" s="595" t="s">
        <v>174</v>
      </c>
      <c r="C173" s="677" t="s">
        <v>290</v>
      </c>
      <c r="D173" s="563"/>
      <c r="E173" s="542"/>
      <c r="F173" s="542"/>
      <c r="G173" s="542"/>
      <c r="H173" s="1241"/>
      <c r="I173" s="1241"/>
      <c r="J173" s="1242"/>
      <c r="K173" s="1241"/>
      <c r="L173" s="1241"/>
      <c r="M173" s="1241"/>
      <c r="N173" s="1241"/>
      <c r="O173" s="542"/>
    </row>
    <row r="174" spans="1:16" ht="18.75">
      <c r="B174" s="595"/>
      <c r="C174" s="594"/>
      <c r="D174" s="563"/>
      <c r="E174" s="542"/>
      <c r="F174" s="542"/>
      <c r="G174" s="542"/>
      <c r="H174" s="1241"/>
      <c r="I174" s="1241"/>
      <c r="J174" s="1242"/>
      <c r="K174" s="1241"/>
      <c r="L174" s="1241"/>
      <c r="M174" s="1241"/>
      <c r="N174" s="1241"/>
      <c r="O174" s="542"/>
    </row>
    <row r="175" spans="1:16" ht="18.75">
      <c r="B175" s="595"/>
      <c r="C175" s="594" t="s">
        <v>291</v>
      </c>
      <c r="D175" s="563"/>
      <c r="E175" s="542"/>
      <c r="F175" s="542"/>
      <c r="G175" s="542"/>
      <c r="H175" s="1241"/>
      <c r="I175" s="1241"/>
      <c r="J175" s="1242"/>
      <c r="K175" s="1241"/>
      <c r="L175" s="1241"/>
      <c r="M175" s="1241"/>
      <c r="N175" s="1241"/>
      <c r="O175" s="542"/>
    </row>
    <row r="176" spans="1:16" ht="15.75" thickBot="1">
      <c r="C176" s="396"/>
      <c r="D176" s="563"/>
      <c r="E176" s="542"/>
      <c r="F176" s="542"/>
      <c r="G176" s="542"/>
      <c r="H176" s="1241"/>
      <c r="I176" s="1241"/>
      <c r="J176" s="1242"/>
      <c r="K176" s="1241"/>
      <c r="L176" s="1241"/>
      <c r="M176" s="1241"/>
      <c r="N176" s="1241"/>
      <c r="O176" s="542"/>
    </row>
    <row r="177" spans="1:15" ht="15.75">
      <c r="C177" s="596" t="s">
        <v>292</v>
      </c>
      <c r="D177" s="563"/>
      <c r="E177" s="542"/>
      <c r="F177" s="542"/>
      <c r="G177" s="1276"/>
      <c r="H177" s="542" t="s">
        <v>271</v>
      </c>
      <c r="I177" s="542"/>
      <c r="J177" s="588"/>
      <c r="K177" s="678" t="s">
        <v>296</v>
      </c>
      <c r="L177" s="679"/>
      <c r="M177" s="680"/>
      <c r="N177" s="1244">
        <f>VLOOKUP(I183,C190:O249,5)</f>
        <v>1022956.5698077092</v>
      </c>
      <c r="O177" s="542"/>
    </row>
    <row r="178" spans="1:15" ht="15.75">
      <c r="C178" s="596"/>
      <c r="D178" s="563"/>
      <c r="E178" s="542"/>
      <c r="F178" s="542"/>
      <c r="G178" s="542"/>
      <c r="H178" s="1245"/>
      <c r="I178" s="1245"/>
      <c r="J178" s="1246"/>
      <c r="K178" s="683" t="s">
        <v>297</v>
      </c>
      <c r="L178" s="1247"/>
      <c r="M178" s="588"/>
      <c r="N178" s="1248">
        <f>VLOOKUP(I183,C190:O249,6)</f>
        <v>1022956.5698077092</v>
      </c>
      <c r="O178" s="542"/>
    </row>
    <row r="179" spans="1:15" ht="13.5" thickBot="1">
      <c r="C179" s="684" t="s">
        <v>293</v>
      </c>
      <c r="D179" s="1712" t="s">
        <v>935</v>
      </c>
      <c r="E179" s="1713"/>
      <c r="F179" s="1713"/>
      <c r="G179" s="1713"/>
      <c r="H179" s="1713"/>
      <c r="I179" s="1713"/>
      <c r="J179" s="1242"/>
      <c r="K179" s="1249" t="s">
        <v>450</v>
      </c>
      <c r="L179" s="1250"/>
      <c r="M179" s="1250"/>
      <c r="N179" s="1251">
        <f>+N178-N177</f>
        <v>0</v>
      </c>
      <c r="O179" s="542"/>
    </row>
    <row r="180" spans="1:15">
      <c r="C180" s="686"/>
      <c r="D180" s="1713"/>
      <c r="E180" s="1713"/>
      <c r="F180" s="1713"/>
      <c r="G180" s="1713"/>
      <c r="H180" s="1713"/>
      <c r="I180" s="1713"/>
      <c r="J180" s="1242"/>
      <c r="K180" s="1241"/>
      <c r="L180" s="1241"/>
      <c r="M180" s="1241"/>
      <c r="N180" s="1241"/>
      <c r="O180" s="542"/>
    </row>
    <row r="181" spans="1:15" ht="13.5" thickBot="1">
      <c r="C181" s="689"/>
      <c r="D181" s="1252"/>
      <c r="E181" s="688"/>
      <c r="F181" s="688"/>
      <c r="G181" s="688"/>
      <c r="H181" s="688"/>
      <c r="I181" s="688"/>
      <c r="J181" s="691"/>
      <c r="K181" s="688"/>
      <c r="L181" s="688"/>
      <c r="M181" s="688"/>
      <c r="N181" s="688"/>
      <c r="O181" s="576"/>
    </row>
    <row r="182" spans="1:15" ht="13.5" thickBot="1">
      <c r="C182" s="692" t="s">
        <v>294</v>
      </c>
      <c r="D182" s="693"/>
      <c r="E182" s="693"/>
      <c r="F182" s="693"/>
      <c r="G182" s="693"/>
      <c r="H182" s="693"/>
      <c r="I182" s="694"/>
      <c r="J182" s="695"/>
      <c r="K182" s="542"/>
      <c r="L182" s="542"/>
      <c r="M182" s="542"/>
      <c r="N182" s="542"/>
      <c r="O182" s="696"/>
    </row>
    <row r="183" spans="1:15" ht="15">
      <c r="C183" s="697" t="s">
        <v>272</v>
      </c>
      <c r="D183" s="1253">
        <v>6529259</v>
      </c>
      <c r="E183" s="655" t="s">
        <v>273</v>
      </c>
      <c r="G183" s="698"/>
      <c r="H183" s="698"/>
      <c r="I183" s="699">
        <v>2018</v>
      </c>
      <c r="J183" s="586"/>
      <c r="K183" s="1702" t="s">
        <v>459</v>
      </c>
      <c r="L183" s="1702"/>
      <c r="M183" s="1702"/>
      <c r="N183" s="1702"/>
      <c r="O183" s="1702"/>
    </row>
    <row r="184" spans="1:15">
      <c r="C184" s="697" t="s">
        <v>275</v>
      </c>
      <c r="D184" s="865">
        <v>2012</v>
      </c>
      <c r="E184" s="697" t="s">
        <v>276</v>
      </c>
      <c r="F184" s="698"/>
      <c r="H184" s="330"/>
      <c r="I184" s="1254">
        <f>IF(G177="",0,$F$15)</f>
        <v>0</v>
      </c>
      <c r="J184" s="700"/>
      <c r="K184" s="1242" t="s">
        <v>459</v>
      </c>
    </row>
    <row r="185" spans="1:15">
      <c r="C185" s="697" t="s">
        <v>277</v>
      </c>
      <c r="D185" s="1253">
        <v>11</v>
      </c>
      <c r="E185" s="697" t="s">
        <v>278</v>
      </c>
      <c r="F185" s="698"/>
      <c r="H185" s="330"/>
      <c r="I185" s="701">
        <f>$G$70</f>
        <v>0.15341253840442806</v>
      </c>
      <c r="J185" s="702"/>
      <c r="K185" s="330" t="str">
        <f>"          INPUT PROJECTED ARR (WITH &amp; WITHOUT INCENTIVES) FROM EACH PRIOR YEAR"</f>
        <v xml:space="preserve">          INPUT PROJECTED ARR (WITH &amp; WITHOUT INCENTIVES) FROM EACH PRIOR YEAR</v>
      </c>
    </row>
    <row r="186" spans="1:15">
      <c r="C186" s="697" t="s">
        <v>279</v>
      </c>
      <c r="D186" s="703">
        <f>G$79</f>
        <v>44</v>
      </c>
      <c r="E186" s="697" t="s">
        <v>280</v>
      </c>
      <c r="F186" s="698"/>
      <c r="H186" s="330"/>
      <c r="I186" s="701">
        <f>IF(G177="",I185,$G$67)</f>
        <v>0.15341253840442806</v>
      </c>
      <c r="J186" s="704"/>
      <c r="K186" s="330" t="s">
        <v>357</v>
      </c>
    </row>
    <row r="187" spans="1:15" ht="13.5" thickBot="1">
      <c r="C187" s="697" t="s">
        <v>281</v>
      </c>
      <c r="D187" s="866" t="s">
        <v>933</v>
      </c>
      <c r="E187" s="705" t="s">
        <v>282</v>
      </c>
      <c r="F187" s="706"/>
      <c r="G187" s="707"/>
      <c r="H187" s="707"/>
      <c r="I187" s="1251">
        <f>IF(D183=0,0,D183/D186)</f>
        <v>148392.25</v>
      </c>
      <c r="J187" s="1242"/>
      <c r="K187" s="1242" t="s">
        <v>363</v>
      </c>
      <c r="L187" s="1242"/>
      <c r="M187" s="1242"/>
      <c r="N187" s="1242"/>
      <c r="O187" s="588"/>
    </row>
    <row r="188" spans="1:15" ht="51">
      <c r="A188" s="529"/>
      <c r="B188" s="1255"/>
      <c r="C188" s="708" t="s">
        <v>272</v>
      </c>
      <c r="D188" s="1256" t="s">
        <v>283</v>
      </c>
      <c r="E188" s="1257" t="s">
        <v>284</v>
      </c>
      <c r="F188" s="1256" t="s">
        <v>285</v>
      </c>
      <c r="G188" s="1257" t="s">
        <v>356</v>
      </c>
      <c r="H188" s="1258" t="s">
        <v>356</v>
      </c>
      <c r="I188" s="708" t="s">
        <v>295</v>
      </c>
      <c r="J188" s="712"/>
      <c r="K188" s="1257" t="s">
        <v>365</v>
      </c>
      <c r="L188" s="1259"/>
      <c r="M188" s="1257" t="s">
        <v>365</v>
      </c>
      <c r="N188" s="1259"/>
      <c r="O188" s="1259"/>
    </row>
    <row r="189" spans="1:15" ht="13.5" thickBot="1">
      <c r="C189" s="714" t="s">
        <v>177</v>
      </c>
      <c r="D189" s="715" t="s">
        <v>178</v>
      </c>
      <c r="E189" s="714" t="s">
        <v>37</v>
      </c>
      <c r="F189" s="715" t="s">
        <v>178</v>
      </c>
      <c r="G189" s="1260" t="s">
        <v>298</v>
      </c>
      <c r="H189" s="1261" t="s">
        <v>300</v>
      </c>
      <c r="I189" s="718" t="s">
        <v>389</v>
      </c>
      <c r="J189" s="719"/>
      <c r="K189" s="1260" t="s">
        <v>287</v>
      </c>
      <c r="L189" s="1262"/>
      <c r="M189" s="1260" t="s">
        <v>300</v>
      </c>
      <c r="N189" s="1262"/>
      <c r="O189" s="1262"/>
    </row>
    <row r="190" spans="1:15">
      <c r="C190" s="720">
        <f>IF(D184= "","-",D184)</f>
        <v>2012</v>
      </c>
      <c r="D190" s="673">
        <f>+D183</f>
        <v>6529259</v>
      </c>
      <c r="E190" s="1263">
        <f>+I187/12*(12-D185)</f>
        <v>12366.020833333334</v>
      </c>
      <c r="F190" s="673">
        <f t="shared" ref="F190:F249" si="6">+D190-E190</f>
        <v>6516892.979166667</v>
      </c>
      <c r="G190" s="1264">
        <f>+$I$185*((D190+F190)/2)+E190</f>
        <v>1013087.6666002892</v>
      </c>
      <c r="H190" s="1265">
        <f>$I$186*((D190+F190)/2)+E190</f>
        <v>1013087.6666002892</v>
      </c>
      <c r="I190" s="724">
        <f>+H190-G190</f>
        <v>0</v>
      </c>
      <c r="J190" s="724"/>
      <c r="K190" s="1277">
        <v>832082</v>
      </c>
      <c r="L190" s="725"/>
      <c r="M190" s="1277">
        <v>832082</v>
      </c>
      <c r="N190" s="725"/>
      <c r="O190" s="725"/>
    </row>
    <row r="191" spans="1:15">
      <c r="C191" s="720">
        <f>IF(D184="","-",+C190+1)</f>
        <v>2013</v>
      </c>
      <c r="D191" s="673">
        <f t="shared" ref="D191:D249" si="7">F190</f>
        <v>6516892.979166667</v>
      </c>
      <c r="E191" s="726">
        <f>IF(D191&gt;$I$187,$I$187,D191)</f>
        <v>148392.25</v>
      </c>
      <c r="F191" s="673">
        <f t="shared" si="6"/>
        <v>6368500.729166667</v>
      </c>
      <c r="G191" s="1263">
        <f t="shared" ref="G191:G249" si="8">+$I$185*((D191+F191)/2)+E191</f>
        <v>1136782.7285679318</v>
      </c>
      <c r="H191" s="1266">
        <f t="shared" ref="H191:H249" si="9">$I$186*((D191+F191)/2)+E191</f>
        <v>1136782.7285679318</v>
      </c>
      <c r="I191" s="724">
        <f t="shared" ref="I191:I249" si="10">+H191-G191</f>
        <v>0</v>
      </c>
      <c r="J191" s="724"/>
      <c r="K191" s="1267">
        <v>1210587</v>
      </c>
      <c r="L191" s="729"/>
      <c r="M191" s="1267">
        <v>1210587</v>
      </c>
      <c r="N191" s="729"/>
      <c r="O191" s="729"/>
    </row>
    <row r="192" spans="1:15">
      <c r="C192" s="720">
        <f>IF(D184="","-",+C191+1)</f>
        <v>2014</v>
      </c>
      <c r="D192" s="673">
        <f t="shared" si="7"/>
        <v>6368500.729166667</v>
      </c>
      <c r="E192" s="726">
        <f t="shared" ref="E192:E249" si="11">IF(D192&gt;$I$187,$I$187,D192)</f>
        <v>148392.25</v>
      </c>
      <c r="F192" s="673">
        <f t="shared" si="6"/>
        <v>6220108.479166667</v>
      </c>
      <c r="G192" s="1263">
        <f t="shared" si="8"/>
        <v>1114017.4968158873</v>
      </c>
      <c r="H192" s="1266">
        <f t="shared" si="9"/>
        <v>1114017.4968158873</v>
      </c>
      <c r="I192" s="724">
        <f t="shared" si="10"/>
        <v>0</v>
      </c>
      <c r="J192" s="724"/>
      <c r="K192" s="1267">
        <v>1247628</v>
      </c>
      <c r="L192" s="729"/>
      <c r="M192" s="1267">
        <v>1247628</v>
      </c>
      <c r="N192" s="729"/>
      <c r="O192" s="729"/>
    </row>
    <row r="193" spans="3:15">
      <c r="C193" s="720">
        <f>IF(D184="","-",+C192+1)</f>
        <v>2015</v>
      </c>
      <c r="D193" s="673">
        <f t="shared" si="7"/>
        <v>6220108.479166667</v>
      </c>
      <c r="E193" s="726">
        <f t="shared" si="11"/>
        <v>148392.25</v>
      </c>
      <c r="F193" s="673">
        <f t="shared" si="6"/>
        <v>6071716.229166667</v>
      </c>
      <c r="G193" s="1263">
        <f t="shared" si="8"/>
        <v>1091252.2650638428</v>
      </c>
      <c r="H193" s="1266">
        <f t="shared" si="9"/>
        <v>1091252.2650638428</v>
      </c>
      <c r="I193" s="724">
        <f t="shared" si="10"/>
        <v>0</v>
      </c>
      <c r="J193" s="724"/>
      <c r="K193" s="869">
        <v>1279512</v>
      </c>
      <c r="L193" s="729"/>
      <c r="M193" s="869">
        <v>1279512</v>
      </c>
      <c r="N193" s="729"/>
      <c r="O193" s="729"/>
    </row>
    <row r="194" spans="3:15">
      <c r="C194" s="720">
        <f>IF(D184="","-",+C193+1)</f>
        <v>2016</v>
      </c>
      <c r="D194" s="673">
        <f t="shared" si="7"/>
        <v>6071716.229166667</v>
      </c>
      <c r="E194" s="726">
        <f t="shared" si="11"/>
        <v>148392.25</v>
      </c>
      <c r="F194" s="673">
        <f t="shared" si="6"/>
        <v>5923323.979166667</v>
      </c>
      <c r="G194" s="1263">
        <f t="shared" si="8"/>
        <v>1068487.0333117982</v>
      </c>
      <c r="H194" s="1266">
        <f t="shared" si="9"/>
        <v>1068487.0333117982</v>
      </c>
      <c r="I194" s="724">
        <f t="shared" si="10"/>
        <v>0</v>
      </c>
      <c r="J194" s="724"/>
      <c r="K194" s="869">
        <v>1233365</v>
      </c>
      <c r="L194" s="729"/>
      <c r="M194" s="869">
        <v>1233365</v>
      </c>
      <c r="N194" s="729"/>
      <c r="O194" s="729"/>
    </row>
    <row r="195" spans="3:15">
      <c r="C195" s="720">
        <f>IF(D184="","-",+C194+1)</f>
        <v>2017</v>
      </c>
      <c r="D195" s="673">
        <f t="shared" si="7"/>
        <v>5923323.979166667</v>
      </c>
      <c r="E195" s="726">
        <f t="shared" si="11"/>
        <v>148392.25</v>
      </c>
      <c r="F195" s="673">
        <f t="shared" si="6"/>
        <v>5774931.729166667</v>
      </c>
      <c r="G195" s="1263">
        <f t="shared" si="8"/>
        <v>1045721.8015597537</v>
      </c>
      <c r="H195" s="1266">
        <f t="shared" si="9"/>
        <v>1045721.8015597537</v>
      </c>
      <c r="I195" s="724">
        <f t="shared" si="10"/>
        <v>0</v>
      </c>
      <c r="J195" s="724"/>
      <c r="K195" s="869">
        <v>1245646</v>
      </c>
      <c r="L195" s="729"/>
      <c r="M195" s="869">
        <v>1245646</v>
      </c>
      <c r="N195" s="729"/>
      <c r="O195" s="729"/>
    </row>
    <row r="196" spans="3:15">
      <c r="C196" s="1268">
        <f>IF(D184="","-",+C195+1)</f>
        <v>2018</v>
      </c>
      <c r="D196" s="1269">
        <f t="shared" si="7"/>
        <v>5774931.729166667</v>
      </c>
      <c r="E196" s="1270">
        <f t="shared" si="11"/>
        <v>148392.25</v>
      </c>
      <c r="F196" s="1269">
        <f t="shared" si="6"/>
        <v>5626539.479166667</v>
      </c>
      <c r="G196" s="1271">
        <f t="shared" si="8"/>
        <v>1022956.5698077092</v>
      </c>
      <c r="H196" s="1272">
        <f t="shared" si="9"/>
        <v>1022956.5698077092</v>
      </c>
      <c r="I196" s="1273">
        <f t="shared" si="10"/>
        <v>0</v>
      </c>
      <c r="J196" s="724"/>
      <c r="K196" s="869"/>
      <c r="L196" s="729"/>
      <c r="M196" s="869"/>
      <c r="N196" s="729"/>
      <c r="O196" s="729"/>
    </row>
    <row r="197" spans="3:15">
      <c r="C197" s="720">
        <f>IF(D184="","-",+C196+1)</f>
        <v>2019</v>
      </c>
      <c r="D197" s="673">
        <f t="shared" si="7"/>
        <v>5626539.479166667</v>
      </c>
      <c r="E197" s="726">
        <f t="shared" si="11"/>
        <v>148392.25</v>
      </c>
      <c r="F197" s="673">
        <f t="shared" si="6"/>
        <v>5478147.229166667</v>
      </c>
      <c r="G197" s="1263">
        <f t="shared" si="8"/>
        <v>1000191.3380556647</v>
      </c>
      <c r="H197" s="1266">
        <f t="shared" si="9"/>
        <v>1000191.3380556647</v>
      </c>
      <c r="I197" s="724">
        <f t="shared" si="10"/>
        <v>0</v>
      </c>
      <c r="J197" s="724"/>
      <c r="K197" s="869"/>
      <c r="L197" s="729"/>
      <c r="M197" s="869"/>
      <c r="N197" s="729"/>
      <c r="O197" s="729"/>
    </row>
    <row r="198" spans="3:15">
      <c r="C198" s="720">
        <f>IF(D184="","-",+C197+1)</f>
        <v>2020</v>
      </c>
      <c r="D198" s="673">
        <f t="shared" si="7"/>
        <v>5478147.229166667</v>
      </c>
      <c r="E198" s="726">
        <f t="shared" si="11"/>
        <v>148392.25</v>
      </c>
      <c r="F198" s="673">
        <f t="shared" si="6"/>
        <v>5329754.979166667</v>
      </c>
      <c r="G198" s="1263">
        <f t="shared" si="8"/>
        <v>977426.10630362027</v>
      </c>
      <c r="H198" s="1266">
        <f t="shared" si="9"/>
        <v>977426.10630362027</v>
      </c>
      <c r="I198" s="724">
        <f t="shared" si="10"/>
        <v>0</v>
      </c>
      <c r="J198" s="724"/>
      <c r="K198" s="869"/>
      <c r="L198" s="729"/>
      <c r="M198" s="869"/>
      <c r="N198" s="729"/>
      <c r="O198" s="729"/>
    </row>
    <row r="199" spans="3:15">
      <c r="C199" s="720">
        <f>IF(D184="","-",+C198+1)</f>
        <v>2021</v>
      </c>
      <c r="D199" s="673">
        <f t="shared" si="7"/>
        <v>5329754.979166667</v>
      </c>
      <c r="E199" s="726">
        <f t="shared" si="11"/>
        <v>148392.25</v>
      </c>
      <c r="F199" s="673">
        <f t="shared" si="6"/>
        <v>5181362.729166667</v>
      </c>
      <c r="G199" s="1263">
        <f t="shared" si="8"/>
        <v>954660.87455157575</v>
      </c>
      <c r="H199" s="1266">
        <f t="shared" si="9"/>
        <v>954660.87455157575</v>
      </c>
      <c r="I199" s="724">
        <f t="shared" si="10"/>
        <v>0</v>
      </c>
      <c r="J199" s="724"/>
      <c r="K199" s="869"/>
      <c r="L199" s="729"/>
      <c r="M199" s="869"/>
      <c r="N199" s="729"/>
      <c r="O199" s="729"/>
    </row>
    <row r="200" spans="3:15">
      <c r="C200" s="720">
        <f>IF(D184="","-",+C199+1)</f>
        <v>2022</v>
      </c>
      <c r="D200" s="673">
        <f t="shared" si="7"/>
        <v>5181362.729166667</v>
      </c>
      <c r="E200" s="726">
        <f t="shared" si="11"/>
        <v>148392.25</v>
      </c>
      <c r="F200" s="673">
        <f t="shared" si="6"/>
        <v>5032970.479166667</v>
      </c>
      <c r="G200" s="1263">
        <f t="shared" si="8"/>
        <v>931895.64279953123</v>
      </c>
      <c r="H200" s="1266">
        <f t="shared" si="9"/>
        <v>931895.64279953123</v>
      </c>
      <c r="I200" s="724">
        <f t="shared" si="10"/>
        <v>0</v>
      </c>
      <c r="J200" s="724"/>
      <c r="K200" s="869"/>
      <c r="L200" s="729"/>
      <c r="M200" s="869"/>
      <c r="N200" s="729"/>
      <c r="O200" s="729"/>
    </row>
    <row r="201" spans="3:15">
      <c r="C201" s="720">
        <f>IF(D184="","-",+C200+1)</f>
        <v>2023</v>
      </c>
      <c r="D201" s="673">
        <f t="shared" si="7"/>
        <v>5032970.479166667</v>
      </c>
      <c r="E201" s="726">
        <f t="shared" si="11"/>
        <v>148392.25</v>
      </c>
      <c r="F201" s="673">
        <f t="shared" si="6"/>
        <v>4884578.229166667</v>
      </c>
      <c r="G201" s="1263">
        <f t="shared" si="8"/>
        <v>909130.4110474867</v>
      </c>
      <c r="H201" s="1266">
        <f t="shared" si="9"/>
        <v>909130.4110474867</v>
      </c>
      <c r="I201" s="724">
        <f t="shared" si="10"/>
        <v>0</v>
      </c>
      <c r="J201" s="724"/>
      <c r="K201" s="869"/>
      <c r="L201" s="729"/>
      <c r="M201" s="869"/>
      <c r="N201" s="729"/>
      <c r="O201" s="729"/>
    </row>
    <row r="202" spans="3:15">
      <c r="C202" s="720">
        <f>IF(D184="","-",+C201+1)</f>
        <v>2024</v>
      </c>
      <c r="D202" s="673">
        <f t="shared" si="7"/>
        <v>4884578.229166667</v>
      </c>
      <c r="E202" s="726">
        <f t="shared" si="11"/>
        <v>148392.25</v>
      </c>
      <c r="F202" s="673">
        <f t="shared" si="6"/>
        <v>4736185.979166667</v>
      </c>
      <c r="G202" s="1263">
        <f t="shared" si="8"/>
        <v>886365.1792954423</v>
      </c>
      <c r="H202" s="1266">
        <f t="shared" si="9"/>
        <v>886365.1792954423</v>
      </c>
      <c r="I202" s="724">
        <f t="shared" si="10"/>
        <v>0</v>
      </c>
      <c r="J202" s="724"/>
      <c r="K202" s="869"/>
      <c r="L202" s="729"/>
      <c r="M202" s="869"/>
      <c r="N202" s="729"/>
      <c r="O202" s="729"/>
    </row>
    <row r="203" spans="3:15">
      <c r="C203" s="720">
        <f>IF(D184="","-",+C202+1)</f>
        <v>2025</v>
      </c>
      <c r="D203" s="673">
        <f t="shared" si="7"/>
        <v>4736185.979166667</v>
      </c>
      <c r="E203" s="726">
        <f t="shared" si="11"/>
        <v>148392.25</v>
      </c>
      <c r="F203" s="673">
        <f t="shared" si="6"/>
        <v>4587793.729166667</v>
      </c>
      <c r="G203" s="1263">
        <f t="shared" si="8"/>
        <v>863599.94754339778</v>
      </c>
      <c r="H203" s="1266">
        <f t="shared" si="9"/>
        <v>863599.94754339778</v>
      </c>
      <c r="I203" s="724">
        <f t="shared" si="10"/>
        <v>0</v>
      </c>
      <c r="J203" s="724"/>
      <c r="K203" s="869"/>
      <c r="L203" s="729"/>
      <c r="M203" s="869"/>
      <c r="N203" s="729"/>
      <c r="O203" s="729"/>
    </row>
    <row r="204" spans="3:15">
      <c r="C204" s="720">
        <f>IF(D184="","-",+C203+1)</f>
        <v>2026</v>
      </c>
      <c r="D204" s="673">
        <f t="shared" si="7"/>
        <v>4587793.729166667</v>
      </c>
      <c r="E204" s="726">
        <f t="shared" si="11"/>
        <v>148392.25</v>
      </c>
      <c r="F204" s="673">
        <f t="shared" si="6"/>
        <v>4439401.479166667</v>
      </c>
      <c r="G204" s="1263">
        <f t="shared" si="8"/>
        <v>840834.71579135326</v>
      </c>
      <c r="H204" s="1266">
        <f t="shared" si="9"/>
        <v>840834.71579135326</v>
      </c>
      <c r="I204" s="724">
        <f t="shared" si="10"/>
        <v>0</v>
      </c>
      <c r="J204" s="724"/>
      <c r="K204" s="869"/>
      <c r="L204" s="729"/>
      <c r="M204" s="869"/>
      <c r="N204" s="729"/>
      <c r="O204" s="729"/>
    </row>
    <row r="205" spans="3:15">
      <c r="C205" s="720">
        <f>IF(D184="","-",+C204+1)</f>
        <v>2027</v>
      </c>
      <c r="D205" s="673">
        <f t="shared" si="7"/>
        <v>4439401.479166667</v>
      </c>
      <c r="E205" s="726">
        <f t="shared" si="11"/>
        <v>148392.25</v>
      </c>
      <c r="F205" s="673">
        <f t="shared" si="6"/>
        <v>4291009.229166667</v>
      </c>
      <c r="G205" s="1263">
        <f t="shared" si="8"/>
        <v>818069.48403930885</v>
      </c>
      <c r="H205" s="1266">
        <f t="shared" si="9"/>
        <v>818069.48403930885</v>
      </c>
      <c r="I205" s="724">
        <f t="shared" si="10"/>
        <v>0</v>
      </c>
      <c r="J205" s="724"/>
      <c r="K205" s="869"/>
      <c r="L205" s="729"/>
      <c r="M205" s="869"/>
      <c r="N205" s="729"/>
      <c r="O205" s="729"/>
    </row>
    <row r="206" spans="3:15">
      <c r="C206" s="720">
        <f>IF(D184="","-",+C205+1)</f>
        <v>2028</v>
      </c>
      <c r="D206" s="673">
        <f t="shared" si="7"/>
        <v>4291009.229166667</v>
      </c>
      <c r="E206" s="726">
        <f t="shared" si="11"/>
        <v>148392.25</v>
      </c>
      <c r="F206" s="673">
        <f t="shared" si="6"/>
        <v>4142616.979166667</v>
      </c>
      <c r="G206" s="1263">
        <f t="shared" si="8"/>
        <v>795304.25228726433</v>
      </c>
      <c r="H206" s="1266">
        <f t="shared" si="9"/>
        <v>795304.25228726433</v>
      </c>
      <c r="I206" s="724">
        <f t="shared" si="10"/>
        <v>0</v>
      </c>
      <c r="J206" s="724"/>
      <c r="K206" s="869"/>
      <c r="L206" s="729"/>
      <c r="M206" s="869"/>
      <c r="N206" s="729"/>
      <c r="O206" s="729"/>
    </row>
    <row r="207" spans="3:15">
      <c r="C207" s="720">
        <f>IF(D184="","-",+C206+1)</f>
        <v>2029</v>
      </c>
      <c r="D207" s="673">
        <f t="shared" si="7"/>
        <v>4142616.979166667</v>
      </c>
      <c r="E207" s="726">
        <f t="shared" si="11"/>
        <v>148392.25</v>
      </c>
      <c r="F207" s="673">
        <f t="shared" si="6"/>
        <v>3994224.729166667</v>
      </c>
      <c r="G207" s="1263">
        <f t="shared" si="8"/>
        <v>772539.02053521981</v>
      </c>
      <c r="H207" s="1266">
        <f t="shared" si="9"/>
        <v>772539.02053521981</v>
      </c>
      <c r="I207" s="724">
        <f t="shared" si="10"/>
        <v>0</v>
      </c>
      <c r="J207" s="724"/>
      <c r="K207" s="869"/>
      <c r="L207" s="729"/>
      <c r="M207" s="869"/>
      <c r="N207" s="729"/>
      <c r="O207" s="729"/>
    </row>
    <row r="208" spans="3:15">
      <c r="C208" s="720">
        <f>IF(D184="","-",+C207+1)</f>
        <v>2030</v>
      </c>
      <c r="D208" s="673">
        <f t="shared" si="7"/>
        <v>3994224.729166667</v>
      </c>
      <c r="E208" s="726">
        <f t="shared" si="11"/>
        <v>148392.25</v>
      </c>
      <c r="F208" s="673">
        <f t="shared" si="6"/>
        <v>3845832.479166667</v>
      </c>
      <c r="G208" s="1263">
        <f t="shared" si="8"/>
        <v>749773.78878317529</v>
      </c>
      <c r="H208" s="1266">
        <f t="shared" si="9"/>
        <v>749773.78878317529</v>
      </c>
      <c r="I208" s="724">
        <f t="shared" si="10"/>
        <v>0</v>
      </c>
      <c r="J208" s="724"/>
      <c r="K208" s="869"/>
      <c r="L208" s="729"/>
      <c r="M208" s="869"/>
      <c r="N208" s="729"/>
      <c r="O208" s="729"/>
    </row>
    <row r="209" spans="3:15">
      <c r="C209" s="720">
        <f>IF(D184="","-",+C208+1)</f>
        <v>2031</v>
      </c>
      <c r="D209" s="673">
        <f t="shared" si="7"/>
        <v>3845832.479166667</v>
      </c>
      <c r="E209" s="726">
        <f t="shared" si="11"/>
        <v>148392.25</v>
      </c>
      <c r="F209" s="673">
        <f t="shared" si="6"/>
        <v>3697440.229166667</v>
      </c>
      <c r="G209" s="1263">
        <f t="shared" si="8"/>
        <v>727008.55703113088</v>
      </c>
      <c r="H209" s="1266">
        <f t="shared" si="9"/>
        <v>727008.55703113088</v>
      </c>
      <c r="I209" s="724">
        <f t="shared" si="10"/>
        <v>0</v>
      </c>
      <c r="J209" s="724"/>
      <c r="K209" s="869"/>
      <c r="L209" s="729"/>
      <c r="M209" s="869"/>
      <c r="N209" s="729"/>
      <c r="O209" s="729"/>
    </row>
    <row r="210" spans="3:15">
      <c r="C210" s="720">
        <f>IF(D184="","-",+C209+1)</f>
        <v>2032</v>
      </c>
      <c r="D210" s="673">
        <f t="shared" si="7"/>
        <v>3697440.229166667</v>
      </c>
      <c r="E210" s="726">
        <f t="shared" si="11"/>
        <v>148392.25</v>
      </c>
      <c r="F210" s="673">
        <f t="shared" si="6"/>
        <v>3549047.979166667</v>
      </c>
      <c r="G210" s="1263">
        <f t="shared" si="8"/>
        <v>704243.32527908636</v>
      </c>
      <c r="H210" s="1266">
        <f t="shared" si="9"/>
        <v>704243.32527908636</v>
      </c>
      <c r="I210" s="724">
        <f t="shared" si="10"/>
        <v>0</v>
      </c>
      <c r="J210" s="724"/>
      <c r="K210" s="869"/>
      <c r="L210" s="729"/>
      <c r="M210" s="869"/>
      <c r="N210" s="729"/>
      <c r="O210" s="729"/>
    </row>
    <row r="211" spans="3:15">
      <c r="C211" s="720">
        <f>IF(D184="","-",+C210+1)</f>
        <v>2033</v>
      </c>
      <c r="D211" s="673">
        <f t="shared" si="7"/>
        <v>3549047.979166667</v>
      </c>
      <c r="E211" s="726">
        <f t="shared" si="11"/>
        <v>148392.25</v>
      </c>
      <c r="F211" s="673">
        <f t="shared" si="6"/>
        <v>3400655.729166667</v>
      </c>
      <c r="G211" s="1263">
        <f t="shared" si="8"/>
        <v>681478.09352704184</v>
      </c>
      <c r="H211" s="1266">
        <f t="shared" si="9"/>
        <v>681478.09352704184</v>
      </c>
      <c r="I211" s="724">
        <f t="shared" si="10"/>
        <v>0</v>
      </c>
      <c r="J211" s="724"/>
      <c r="K211" s="869"/>
      <c r="L211" s="729"/>
      <c r="M211" s="869"/>
      <c r="N211" s="729"/>
      <c r="O211" s="729"/>
    </row>
    <row r="212" spans="3:15">
      <c r="C212" s="720">
        <f>IF(D184="","-",+C211+1)</f>
        <v>2034</v>
      </c>
      <c r="D212" s="673">
        <f t="shared" si="7"/>
        <v>3400655.729166667</v>
      </c>
      <c r="E212" s="726">
        <f t="shared" si="11"/>
        <v>148392.25</v>
      </c>
      <c r="F212" s="673">
        <f t="shared" si="6"/>
        <v>3252263.479166667</v>
      </c>
      <c r="G212" s="1263">
        <f t="shared" si="8"/>
        <v>658712.86177499732</v>
      </c>
      <c r="H212" s="1266">
        <f t="shared" si="9"/>
        <v>658712.86177499732</v>
      </c>
      <c r="I212" s="724">
        <f t="shared" si="10"/>
        <v>0</v>
      </c>
      <c r="J212" s="724"/>
      <c r="K212" s="869"/>
      <c r="L212" s="729"/>
      <c r="M212" s="869"/>
      <c r="N212" s="729"/>
      <c r="O212" s="729"/>
    </row>
    <row r="213" spans="3:15">
      <c r="C213" s="720">
        <f>IF(D184="","-",+C212+1)</f>
        <v>2035</v>
      </c>
      <c r="D213" s="673">
        <f t="shared" si="7"/>
        <v>3252263.479166667</v>
      </c>
      <c r="E213" s="726">
        <f t="shared" si="11"/>
        <v>148392.25</v>
      </c>
      <c r="F213" s="673">
        <f t="shared" si="6"/>
        <v>3103871.229166667</v>
      </c>
      <c r="G213" s="1263">
        <f t="shared" si="8"/>
        <v>635947.6300229528</v>
      </c>
      <c r="H213" s="1266">
        <f t="shared" si="9"/>
        <v>635947.6300229528</v>
      </c>
      <c r="I213" s="724">
        <f t="shared" si="10"/>
        <v>0</v>
      </c>
      <c r="J213" s="724"/>
      <c r="K213" s="869"/>
      <c r="L213" s="729"/>
      <c r="M213" s="869"/>
      <c r="N213" s="729"/>
      <c r="O213" s="729"/>
    </row>
    <row r="214" spans="3:15">
      <c r="C214" s="720">
        <f>IF(D184="","-",+C213+1)</f>
        <v>2036</v>
      </c>
      <c r="D214" s="673">
        <f t="shared" si="7"/>
        <v>3103871.229166667</v>
      </c>
      <c r="E214" s="726">
        <f t="shared" si="11"/>
        <v>148392.25</v>
      </c>
      <c r="F214" s="673">
        <f t="shared" si="6"/>
        <v>2955478.979166667</v>
      </c>
      <c r="G214" s="1263">
        <f t="shared" si="8"/>
        <v>613182.39827090839</v>
      </c>
      <c r="H214" s="1266">
        <f t="shared" si="9"/>
        <v>613182.39827090839</v>
      </c>
      <c r="I214" s="724">
        <f t="shared" si="10"/>
        <v>0</v>
      </c>
      <c r="J214" s="724"/>
      <c r="K214" s="869"/>
      <c r="L214" s="729"/>
      <c r="M214" s="869"/>
      <c r="N214" s="729"/>
      <c r="O214" s="729"/>
    </row>
    <row r="215" spans="3:15">
      <c r="C215" s="720">
        <f>IF(D184="","-",+C214+1)</f>
        <v>2037</v>
      </c>
      <c r="D215" s="673">
        <f t="shared" si="7"/>
        <v>2955478.979166667</v>
      </c>
      <c r="E215" s="726">
        <f t="shared" si="11"/>
        <v>148392.25</v>
      </c>
      <c r="F215" s="673">
        <f t="shared" si="6"/>
        <v>2807086.729166667</v>
      </c>
      <c r="G215" s="1263">
        <f t="shared" si="8"/>
        <v>590417.16651886387</v>
      </c>
      <c r="H215" s="1266">
        <f t="shared" si="9"/>
        <v>590417.16651886387</v>
      </c>
      <c r="I215" s="724">
        <f t="shared" si="10"/>
        <v>0</v>
      </c>
      <c r="J215" s="724"/>
      <c r="K215" s="869"/>
      <c r="L215" s="729"/>
      <c r="M215" s="869"/>
      <c r="N215" s="729"/>
      <c r="O215" s="729"/>
    </row>
    <row r="216" spans="3:15">
      <c r="C216" s="720">
        <f>IF(D184="","-",+C215+1)</f>
        <v>2038</v>
      </c>
      <c r="D216" s="673">
        <f t="shared" si="7"/>
        <v>2807086.729166667</v>
      </c>
      <c r="E216" s="726">
        <f t="shared" si="11"/>
        <v>148392.25</v>
      </c>
      <c r="F216" s="673">
        <f t="shared" si="6"/>
        <v>2658694.479166667</v>
      </c>
      <c r="G216" s="1263">
        <f t="shared" si="8"/>
        <v>567651.93476681947</v>
      </c>
      <c r="H216" s="1266">
        <f t="shared" si="9"/>
        <v>567651.93476681947</v>
      </c>
      <c r="I216" s="724">
        <f t="shared" si="10"/>
        <v>0</v>
      </c>
      <c r="J216" s="724"/>
      <c r="K216" s="869"/>
      <c r="L216" s="729"/>
      <c r="M216" s="869"/>
      <c r="N216" s="729"/>
      <c r="O216" s="729"/>
    </row>
    <row r="217" spans="3:15">
      <c r="C217" s="720">
        <f>IF(D184="","-",+C216+1)</f>
        <v>2039</v>
      </c>
      <c r="D217" s="673">
        <f t="shared" si="7"/>
        <v>2658694.479166667</v>
      </c>
      <c r="E217" s="726">
        <f t="shared" si="11"/>
        <v>148392.25</v>
      </c>
      <c r="F217" s="673">
        <f t="shared" si="6"/>
        <v>2510302.229166667</v>
      </c>
      <c r="G217" s="1263">
        <f t="shared" si="8"/>
        <v>544886.70301477495</v>
      </c>
      <c r="H217" s="1266">
        <f t="shared" si="9"/>
        <v>544886.70301477495</v>
      </c>
      <c r="I217" s="724">
        <f t="shared" si="10"/>
        <v>0</v>
      </c>
      <c r="J217" s="724"/>
      <c r="K217" s="869"/>
      <c r="L217" s="729"/>
      <c r="M217" s="869"/>
      <c r="N217" s="729"/>
      <c r="O217" s="729"/>
    </row>
    <row r="218" spans="3:15">
      <c r="C218" s="720">
        <f>IF(D184="","-",+C217+1)</f>
        <v>2040</v>
      </c>
      <c r="D218" s="673">
        <f t="shared" si="7"/>
        <v>2510302.229166667</v>
      </c>
      <c r="E218" s="726">
        <f t="shared" si="11"/>
        <v>148392.25</v>
      </c>
      <c r="F218" s="673">
        <f t="shared" si="6"/>
        <v>2361909.979166667</v>
      </c>
      <c r="G218" s="1264">
        <f t="shared" si="8"/>
        <v>522121.47126273043</v>
      </c>
      <c r="H218" s="1266">
        <f t="shared" si="9"/>
        <v>522121.47126273043</v>
      </c>
      <c r="I218" s="724">
        <f t="shared" si="10"/>
        <v>0</v>
      </c>
      <c r="J218" s="724"/>
      <c r="K218" s="869"/>
      <c r="L218" s="729"/>
      <c r="M218" s="869"/>
      <c r="N218" s="729"/>
      <c r="O218" s="729"/>
    </row>
    <row r="219" spans="3:15">
      <c r="C219" s="720">
        <f>IF(D184="","-",+C218+1)</f>
        <v>2041</v>
      </c>
      <c r="D219" s="673">
        <f t="shared" si="7"/>
        <v>2361909.979166667</v>
      </c>
      <c r="E219" s="726">
        <f t="shared" si="11"/>
        <v>148392.25</v>
      </c>
      <c r="F219" s="673">
        <f t="shared" si="6"/>
        <v>2213517.729166667</v>
      </c>
      <c r="G219" s="1263">
        <f t="shared" si="8"/>
        <v>499356.23951068596</v>
      </c>
      <c r="H219" s="1266">
        <f t="shared" si="9"/>
        <v>499356.23951068596</v>
      </c>
      <c r="I219" s="724">
        <f t="shared" si="10"/>
        <v>0</v>
      </c>
      <c r="J219" s="724"/>
      <c r="K219" s="869"/>
      <c r="L219" s="729"/>
      <c r="M219" s="869"/>
      <c r="N219" s="729"/>
      <c r="O219" s="729"/>
    </row>
    <row r="220" spans="3:15">
      <c r="C220" s="720">
        <f>IF(D184="","-",+C219+1)</f>
        <v>2042</v>
      </c>
      <c r="D220" s="673">
        <f t="shared" si="7"/>
        <v>2213517.729166667</v>
      </c>
      <c r="E220" s="726">
        <f t="shared" si="11"/>
        <v>148392.25</v>
      </c>
      <c r="F220" s="673">
        <f t="shared" si="6"/>
        <v>2065125.479166667</v>
      </c>
      <c r="G220" s="1263">
        <f t="shared" si="8"/>
        <v>476591.00775864144</v>
      </c>
      <c r="H220" s="1266">
        <f t="shared" si="9"/>
        <v>476591.00775864144</v>
      </c>
      <c r="I220" s="724">
        <f t="shared" si="10"/>
        <v>0</v>
      </c>
      <c r="J220" s="724"/>
      <c r="K220" s="869"/>
      <c r="L220" s="729"/>
      <c r="M220" s="869"/>
      <c r="N220" s="729"/>
      <c r="O220" s="729"/>
    </row>
    <row r="221" spans="3:15">
      <c r="C221" s="720">
        <f>IF(D184="","-",+C220+1)</f>
        <v>2043</v>
      </c>
      <c r="D221" s="673">
        <f t="shared" si="7"/>
        <v>2065125.479166667</v>
      </c>
      <c r="E221" s="726">
        <f t="shared" si="11"/>
        <v>148392.25</v>
      </c>
      <c r="F221" s="673">
        <f t="shared" si="6"/>
        <v>1916733.229166667</v>
      </c>
      <c r="G221" s="1263">
        <f t="shared" si="8"/>
        <v>453825.77600659698</v>
      </c>
      <c r="H221" s="1266">
        <f t="shared" si="9"/>
        <v>453825.77600659698</v>
      </c>
      <c r="I221" s="724">
        <f t="shared" si="10"/>
        <v>0</v>
      </c>
      <c r="J221" s="724"/>
      <c r="K221" s="869"/>
      <c r="L221" s="729"/>
      <c r="M221" s="869"/>
      <c r="N221" s="729"/>
      <c r="O221" s="729"/>
    </row>
    <row r="222" spans="3:15">
      <c r="C222" s="720">
        <f>IF(D184="","-",+C221+1)</f>
        <v>2044</v>
      </c>
      <c r="D222" s="673">
        <f t="shared" si="7"/>
        <v>1916733.229166667</v>
      </c>
      <c r="E222" s="726">
        <f t="shared" si="11"/>
        <v>148392.25</v>
      </c>
      <c r="F222" s="673">
        <f t="shared" si="6"/>
        <v>1768340.979166667</v>
      </c>
      <c r="G222" s="1263">
        <f t="shared" si="8"/>
        <v>431060.54425455246</v>
      </c>
      <c r="H222" s="1266">
        <f t="shared" si="9"/>
        <v>431060.54425455246</v>
      </c>
      <c r="I222" s="724">
        <f t="shared" si="10"/>
        <v>0</v>
      </c>
      <c r="J222" s="724"/>
      <c r="K222" s="869"/>
      <c r="L222" s="729"/>
      <c r="M222" s="869"/>
      <c r="N222" s="729"/>
      <c r="O222" s="729"/>
    </row>
    <row r="223" spans="3:15">
      <c r="C223" s="720">
        <f>IF(D184="","-",+C222+1)</f>
        <v>2045</v>
      </c>
      <c r="D223" s="673">
        <f t="shared" si="7"/>
        <v>1768340.979166667</v>
      </c>
      <c r="E223" s="726">
        <f t="shared" si="11"/>
        <v>148392.25</v>
      </c>
      <c r="F223" s="673">
        <f t="shared" si="6"/>
        <v>1619948.729166667</v>
      </c>
      <c r="G223" s="1263">
        <f t="shared" si="8"/>
        <v>408295.31250250794</v>
      </c>
      <c r="H223" s="1266">
        <f t="shared" si="9"/>
        <v>408295.31250250794</v>
      </c>
      <c r="I223" s="724">
        <f t="shared" si="10"/>
        <v>0</v>
      </c>
      <c r="J223" s="724"/>
      <c r="K223" s="869"/>
      <c r="L223" s="729"/>
      <c r="M223" s="869"/>
      <c r="N223" s="729"/>
      <c r="O223" s="729"/>
    </row>
    <row r="224" spans="3:15">
      <c r="C224" s="720">
        <f>IF(D184="","-",+C223+1)</f>
        <v>2046</v>
      </c>
      <c r="D224" s="673">
        <f t="shared" si="7"/>
        <v>1619948.729166667</v>
      </c>
      <c r="E224" s="726">
        <f t="shared" si="11"/>
        <v>148392.25</v>
      </c>
      <c r="F224" s="673">
        <f t="shared" si="6"/>
        <v>1471556.479166667</v>
      </c>
      <c r="G224" s="1263">
        <f t="shared" si="8"/>
        <v>385530.08075046347</v>
      </c>
      <c r="H224" s="1266">
        <f t="shared" si="9"/>
        <v>385530.08075046347</v>
      </c>
      <c r="I224" s="724">
        <f t="shared" si="10"/>
        <v>0</v>
      </c>
      <c r="J224" s="724"/>
      <c r="K224" s="869"/>
      <c r="L224" s="729"/>
      <c r="M224" s="869"/>
      <c r="N224" s="729"/>
      <c r="O224" s="729"/>
    </row>
    <row r="225" spans="3:15">
      <c r="C225" s="720">
        <f>IF(D184="","-",+C224+1)</f>
        <v>2047</v>
      </c>
      <c r="D225" s="673">
        <f t="shared" si="7"/>
        <v>1471556.479166667</v>
      </c>
      <c r="E225" s="726">
        <f t="shared" si="11"/>
        <v>148392.25</v>
      </c>
      <c r="F225" s="673">
        <f t="shared" si="6"/>
        <v>1323164.229166667</v>
      </c>
      <c r="G225" s="1263">
        <f t="shared" si="8"/>
        <v>362764.84899841901</v>
      </c>
      <c r="H225" s="1266">
        <f t="shared" si="9"/>
        <v>362764.84899841901</v>
      </c>
      <c r="I225" s="724">
        <f t="shared" si="10"/>
        <v>0</v>
      </c>
      <c r="J225" s="724"/>
      <c r="K225" s="869"/>
      <c r="L225" s="729"/>
      <c r="M225" s="869"/>
      <c r="N225" s="729"/>
      <c r="O225" s="729"/>
    </row>
    <row r="226" spans="3:15">
      <c r="C226" s="720">
        <f>IF(D184="","-",+C225+1)</f>
        <v>2048</v>
      </c>
      <c r="D226" s="673">
        <f t="shared" si="7"/>
        <v>1323164.229166667</v>
      </c>
      <c r="E226" s="726">
        <f t="shared" si="11"/>
        <v>148392.25</v>
      </c>
      <c r="F226" s="673">
        <f t="shared" si="6"/>
        <v>1174771.979166667</v>
      </c>
      <c r="G226" s="1263">
        <f t="shared" si="8"/>
        <v>339999.61724637449</v>
      </c>
      <c r="H226" s="1266">
        <f t="shared" si="9"/>
        <v>339999.61724637449</v>
      </c>
      <c r="I226" s="724">
        <f t="shared" si="10"/>
        <v>0</v>
      </c>
      <c r="J226" s="724"/>
      <c r="K226" s="869"/>
      <c r="L226" s="729"/>
      <c r="M226" s="869"/>
      <c r="N226" s="729"/>
      <c r="O226" s="729"/>
    </row>
    <row r="227" spans="3:15">
      <c r="C227" s="720">
        <f>IF(D184="","-",+C226+1)</f>
        <v>2049</v>
      </c>
      <c r="D227" s="673">
        <f t="shared" si="7"/>
        <v>1174771.979166667</v>
      </c>
      <c r="E227" s="726">
        <f t="shared" si="11"/>
        <v>148392.25</v>
      </c>
      <c r="F227" s="673">
        <f t="shared" si="6"/>
        <v>1026379.729166667</v>
      </c>
      <c r="G227" s="1263">
        <f t="shared" si="8"/>
        <v>317234.38549433002</v>
      </c>
      <c r="H227" s="1266">
        <f t="shared" si="9"/>
        <v>317234.38549433002</v>
      </c>
      <c r="I227" s="724">
        <f t="shared" si="10"/>
        <v>0</v>
      </c>
      <c r="J227" s="724"/>
      <c r="K227" s="869"/>
      <c r="L227" s="729"/>
      <c r="M227" s="869"/>
      <c r="N227" s="729"/>
      <c r="O227" s="729"/>
    </row>
    <row r="228" spans="3:15">
      <c r="C228" s="720">
        <f>IF(D184="","-",+C227+1)</f>
        <v>2050</v>
      </c>
      <c r="D228" s="673">
        <f t="shared" si="7"/>
        <v>1026379.729166667</v>
      </c>
      <c r="E228" s="726">
        <f t="shared" si="11"/>
        <v>148392.25</v>
      </c>
      <c r="F228" s="673">
        <f t="shared" si="6"/>
        <v>877987.47916666698</v>
      </c>
      <c r="G228" s="1263">
        <f t="shared" si="8"/>
        <v>294469.15374228556</v>
      </c>
      <c r="H228" s="1266">
        <f t="shared" si="9"/>
        <v>294469.15374228556</v>
      </c>
      <c r="I228" s="724">
        <f t="shared" si="10"/>
        <v>0</v>
      </c>
      <c r="J228" s="724"/>
      <c r="K228" s="869"/>
      <c r="L228" s="729"/>
      <c r="M228" s="869"/>
      <c r="N228" s="729"/>
      <c r="O228" s="729"/>
    </row>
    <row r="229" spans="3:15">
      <c r="C229" s="720">
        <f>IF(D184="","-",+C228+1)</f>
        <v>2051</v>
      </c>
      <c r="D229" s="673">
        <f t="shared" si="7"/>
        <v>877987.47916666698</v>
      </c>
      <c r="E229" s="726">
        <f t="shared" si="11"/>
        <v>148392.25</v>
      </c>
      <c r="F229" s="673">
        <f t="shared" si="6"/>
        <v>729595.22916666698</v>
      </c>
      <c r="G229" s="1263">
        <f t="shared" si="8"/>
        <v>271703.92199024104</v>
      </c>
      <c r="H229" s="1266">
        <f t="shared" si="9"/>
        <v>271703.92199024104</v>
      </c>
      <c r="I229" s="724">
        <f t="shared" si="10"/>
        <v>0</v>
      </c>
      <c r="J229" s="724"/>
      <c r="K229" s="869"/>
      <c r="L229" s="729"/>
      <c r="M229" s="869"/>
      <c r="N229" s="729"/>
      <c r="O229" s="729"/>
    </row>
    <row r="230" spans="3:15">
      <c r="C230" s="720">
        <f>IF(D184="","-",+C229+1)</f>
        <v>2052</v>
      </c>
      <c r="D230" s="673">
        <f t="shared" si="7"/>
        <v>729595.22916666698</v>
      </c>
      <c r="E230" s="726">
        <f t="shared" si="11"/>
        <v>148392.25</v>
      </c>
      <c r="F230" s="673">
        <f t="shared" si="6"/>
        <v>581202.97916666698</v>
      </c>
      <c r="G230" s="1263">
        <f t="shared" si="8"/>
        <v>248938.69023819655</v>
      </c>
      <c r="H230" s="1266">
        <f t="shared" si="9"/>
        <v>248938.69023819655</v>
      </c>
      <c r="I230" s="724">
        <f t="shared" si="10"/>
        <v>0</v>
      </c>
      <c r="J230" s="724"/>
      <c r="K230" s="869"/>
      <c r="L230" s="729"/>
      <c r="M230" s="869"/>
      <c r="N230" s="729"/>
      <c r="O230" s="729"/>
    </row>
    <row r="231" spans="3:15">
      <c r="C231" s="720">
        <f>IF(D184="","-",+C230+1)</f>
        <v>2053</v>
      </c>
      <c r="D231" s="673">
        <f t="shared" si="7"/>
        <v>581202.97916666698</v>
      </c>
      <c r="E231" s="726">
        <f t="shared" si="11"/>
        <v>148392.25</v>
      </c>
      <c r="F231" s="673">
        <f t="shared" si="6"/>
        <v>432810.72916666698</v>
      </c>
      <c r="G231" s="1263">
        <f t="shared" si="8"/>
        <v>226173.45848615206</v>
      </c>
      <c r="H231" s="1266">
        <f t="shared" si="9"/>
        <v>226173.45848615206</v>
      </c>
      <c r="I231" s="724">
        <f t="shared" si="10"/>
        <v>0</v>
      </c>
      <c r="J231" s="724"/>
      <c r="K231" s="869"/>
      <c r="L231" s="729"/>
      <c r="M231" s="869"/>
      <c r="N231" s="729"/>
      <c r="O231" s="729"/>
    </row>
    <row r="232" spans="3:15">
      <c r="C232" s="720">
        <f>IF(D184="","-",+C231+1)</f>
        <v>2054</v>
      </c>
      <c r="D232" s="673">
        <f t="shared" si="7"/>
        <v>432810.72916666698</v>
      </c>
      <c r="E232" s="726">
        <f t="shared" si="11"/>
        <v>148392.25</v>
      </c>
      <c r="F232" s="673">
        <f t="shared" si="6"/>
        <v>284418.47916666698</v>
      </c>
      <c r="G232" s="1263">
        <f t="shared" si="8"/>
        <v>203408.22673410756</v>
      </c>
      <c r="H232" s="1266">
        <f t="shared" si="9"/>
        <v>203408.22673410756</v>
      </c>
      <c r="I232" s="724">
        <f t="shared" si="10"/>
        <v>0</v>
      </c>
      <c r="J232" s="724"/>
      <c r="K232" s="869"/>
      <c r="L232" s="729"/>
      <c r="M232" s="869"/>
      <c r="N232" s="729"/>
      <c r="O232" s="729"/>
    </row>
    <row r="233" spans="3:15">
      <c r="C233" s="720">
        <f>IF(D184="","-",+C232+1)</f>
        <v>2055</v>
      </c>
      <c r="D233" s="673">
        <f t="shared" si="7"/>
        <v>284418.47916666698</v>
      </c>
      <c r="E233" s="726">
        <f t="shared" si="11"/>
        <v>148392.25</v>
      </c>
      <c r="F233" s="673">
        <f t="shared" si="6"/>
        <v>136026.22916666698</v>
      </c>
      <c r="G233" s="1263">
        <f t="shared" si="8"/>
        <v>180642.99498206307</v>
      </c>
      <c r="H233" s="1266">
        <f t="shared" si="9"/>
        <v>180642.99498206307</v>
      </c>
      <c r="I233" s="724">
        <f t="shared" si="10"/>
        <v>0</v>
      </c>
      <c r="J233" s="724"/>
      <c r="K233" s="869"/>
      <c r="L233" s="729"/>
      <c r="M233" s="869"/>
      <c r="N233" s="729"/>
      <c r="O233" s="729"/>
    </row>
    <row r="234" spans="3:15">
      <c r="C234" s="720">
        <f>IF(D184="","-",+C233+1)</f>
        <v>2056</v>
      </c>
      <c r="D234" s="673">
        <f t="shared" si="7"/>
        <v>136026.22916666698</v>
      </c>
      <c r="E234" s="726">
        <f t="shared" si="11"/>
        <v>136026.22916666698</v>
      </c>
      <c r="F234" s="673">
        <f t="shared" si="6"/>
        <v>0</v>
      </c>
      <c r="G234" s="1263">
        <f t="shared" si="8"/>
        <v>146460.29371968738</v>
      </c>
      <c r="H234" s="1266">
        <f t="shared" si="9"/>
        <v>146460.29371968738</v>
      </c>
      <c r="I234" s="724">
        <f t="shared" si="10"/>
        <v>0</v>
      </c>
      <c r="J234" s="724"/>
      <c r="K234" s="869"/>
      <c r="L234" s="729"/>
      <c r="M234" s="869"/>
      <c r="N234" s="729"/>
      <c r="O234" s="729"/>
    </row>
    <row r="235" spans="3:15">
      <c r="C235" s="720">
        <f>IF(D184="","-",+C234+1)</f>
        <v>2057</v>
      </c>
      <c r="D235" s="673">
        <f t="shared" si="7"/>
        <v>0</v>
      </c>
      <c r="E235" s="726">
        <f t="shared" si="11"/>
        <v>0</v>
      </c>
      <c r="F235" s="673">
        <f t="shared" si="6"/>
        <v>0</v>
      </c>
      <c r="G235" s="1263">
        <f t="shared" si="8"/>
        <v>0</v>
      </c>
      <c r="H235" s="1266">
        <f t="shared" si="9"/>
        <v>0</v>
      </c>
      <c r="I235" s="724">
        <f t="shared" si="10"/>
        <v>0</v>
      </c>
      <c r="J235" s="724"/>
      <c r="K235" s="869"/>
      <c r="L235" s="729"/>
      <c r="M235" s="869"/>
      <c r="N235" s="729"/>
      <c r="O235" s="729"/>
    </row>
    <row r="236" spans="3:15">
      <c r="C236" s="720">
        <f>IF(D184="","-",+C235+1)</f>
        <v>2058</v>
      </c>
      <c r="D236" s="673">
        <f t="shared" si="7"/>
        <v>0</v>
      </c>
      <c r="E236" s="726">
        <f t="shared" si="11"/>
        <v>0</v>
      </c>
      <c r="F236" s="673">
        <f t="shared" si="6"/>
        <v>0</v>
      </c>
      <c r="G236" s="1263">
        <f t="shared" si="8"/>
        <v>0</v>
      </c>
      <c r="H236" s="1266">
        <f t="shared" si="9"/>
        <v>0</v>
      </c>
      <c r="I236" s="724">
        <f t="shared" si="10"/>
        <v>0</v>
      </c>
      <c r="J236" s="724"/>
      <c r="K236" s="869"/>
      <c r="L236" s="729"/>
      <c r="M236" s="869"/>
      <c r="N236" s="729"/>
      <c r="O236" s="729"/>
    </row>
    <row r="237" spans="3:15">
      <c r="C237" s="720">
        <f>IF(D184="","-",+C236+1)</f>
        <v>2059</v>
      </c>
      <c r="D237" s="673">
        <f t="shared" si="7"/>
        <v>0</v>
      </c>
      <c r="E237" s="726">
        <f t="shared" si="11"/>
        <v>0</v>
      </c>
      <c r="F237" s="673">
        <f t="shared" si="6"/>
        <v>0</v>
      </c>
      <c r="G237" s="1263">
        <f t="shared" si="8"/>
        <v>0</v>
      </c>
      <c r="H237" s="1266">
        <f t="shared" si="9"/>
        <v>0</v>
      </c>
      <c r="I237" s="724">
        <f t="shared" si="10"/>
        <v>0</v>
      </c>
      <c r="J237" s="724"/>
      <c r="K237" s="869"/>
      <c r="L237" s="729"/>
      <c r="M237" s="869"/>
      <c r="N237" s="729"/>
      <c r="O237" s="729"/>
    </row>
    <row r="238" spans="3:15">
      <c r="C238" s="720">
        <f>IF(D184="","-",+C237+1)</f>
        <v>2060</v>
      </c>
      <c r="D238" s="673">
        <f t="shared" si="7"/>
        <v>0</v>
      </c>
      <c r="E238" s="726">
        <f t="shared" si="11"/>
        <v>0</v>
      </c>
      <c r="F238" s="673">
        <f t="shared" si="6"/>
        <v>0</v>
      </c>
      <c r="G238" s="1263">
        <f t="shared" si="8"/>
        <v>0</v>
      </c>
      <c r="H238" s="1266">
        <f t="shared" si="9"/>
        <v>0</v>
      </c>
      <c r="I238" s="724">
        <f t="shared" si="10"/>
        <v>0</v>
      </c>
      <c r="J238" s="724"/>
      <c r="K238" s="869"/>
      <c r="L238" s="729"/>
      <c r="M238" s="869"/>
      <c r="N238" s="729"/>
      <c r="O238" s="729"/>
    </row>
    <row r="239" spans="3:15">
      <c r="C239" s="720">
        <f>IF(D184="","-",+C238+1)</f>
        <v>2061</v>
      </c>
      <c r="D239" s="673">
        <f t="shared" si="7"/>
        <v>0</v>
      </c>
      <c r="E239" s="726">
        <f t="shared" si="11"/>
        <v>0</v>
      </c>
      <c r="F239" s="673">
        <f t="shared" si="6"/>
        <v>0</v>
      </c>
      <c r="G239" s="1263">
        <f t="shared" si="8"/>
        <v>0</v>
      </c>
      <c r="H239" s="1266">
        <f t="shared" si="9"/>
        <v>0</v>
      </c>
      <c r="I239" s="724">
        <f t="shared" si="10"/>
        <v>0</v>
      </c>
      <c r="J239" s="724"/>
      <c r="K239" s="869"/>
      <c r="L239" s="729"/>
      <c r="M239" s="869"/>
      <c r="N239" s="729"/>
      <c r="O239" s="729"/>
    </row>
    <row r="240" spans="3:15">
      <c r="C240" s="720">
        <f>IF(D184="","-",+C239+1)</f>
        <v>2062</v>
      </c>
      <c r="D240" s="673">
        <f t="shared" si="7"/>
        <v>0</v>
      </c>
      <c r="E240" s="726">
        <f t="shared" si="11"/>
        <v>0</v>
      </c>
      <c r="F240" s="673">
        <f t="shared" si="6"/>
        <v>0</v>
      </c>
      <c r="G240" s="1263">
        <f t="shared" si="8"/>
        <v>0</v>
      </c>
      <c r="H240" s="1266">
        <f t="shared" si="9"/>
        <v>0</v>
      </c>
      <c r="I240" s="724">
        <f t="shared" si="10"/>
        <v>0</v>
      </c>
      <c r="J240" s="724"/>
      <c r="K240" s="869"/>
      <c r="L240" s="729"/>
      <c r="M240" s="869"/>
      <c r="N240" s="729"/>
      <c r="O240" s="729"/>
    </row>
    <row r="241" spans="3:15">
      <c r="C241" s="720">
        <f>IF(D184="","-",+C240+1)</f>
        <v>2063</v>
      </c>
      <c r="D241" s="673">
        <f t="shared" si="7"/>
        <v>0</v>
      </c>
      <c r="E241" s="726">
        <f t="shared" si="11"/>
        <v>0</v>
      </c>
      <c r="F241" s="673">
        <f t="shared" si="6"/>
        <v>0</v>
      </c>
      <c r="G241" s="1263">
        <f t="shared" si="8"/>
        <v>0</v>
      </c>
      <c r="H241" s="1266">
        <f t="shared" si="9"/>
        <v>0</v>
      </c>
      <c r="I241" s="724">
        <f t="shared" si="10"/>
        <v>0</v>
      </c>
      <c r="J241" s="724"/>
      <c r="K241" s="869"/>
      <c r="L241" s="729"/>
      <c r="M241" s="869"/>
      <c r="N241" s="729"/>
      <c r="O241" s="729"/>
    </row>
    <row r="242" spans="3:15">
      <c r="C242" s="720">
        <f>IF(D184="","-",+C241+1)</f>
        <v>2064</v>
      </c>
      <c r="D242" s="673">
        <f t="shared" si="7"/>
        <v>0</v>
      </c>
      <c r="E242" s="726">
        <f t="shared" si="11"/>
        <v>0</v>
      </c>
      <c r="F242" s="673">
        <f t="shared" si="6"/>
        <v>0</v>
      </c>
      <c r="G242" s="1263">
        <f t="shared" si="8"/>
        <v>0</v>
      </c>
      <c r="H242" s="1266">
        <f t="shared" si="9"/>
        <v>0</v>
      </c>
      <c r="I242" s="724">
        <f t="shared" si="10"/>
        <v>0</v>
      </c>
      <c r="J242" s="724"/>
      <c r="K242" s="869"/>
      <c r="L242" s="729"/>
      <c r="M242" s="869"/>
      <c r="N242" s="729"/>
      <c r="O242" s="729"/>
    </row>
    <row r="243" spans="3:15">
      <c r="C243" s="720">
        <f>IF(D184="","-",+C242+1)</f>
        <v>2065</v>
      </c>
      <c r="D243" s="673">
        <f t="shared" si="7"/>
        <v>0</v>
      </c>
      <c r="E243" s="726">
        <f t="shared" si="11"/>
        <v>0</v>
      </c>
      <c r="F243" s="673">
        <f t="shared" si="6"/>
        <v>0</v>
      </c>
      <c r="G243" s="1263">
        <f t="shared" si="8"/>
        <v>0</v>
      </c>
      <c r="H243" s="1266">
        <f t="shared" si="9"/>
        <v>0</v>
      </c>
      <c r="I243" s="724">
        <f t="shared" si="10"/>
        <v>0</v>
      </c>
      <c r="J243" s="724"/>
      <c r="K243" s="869"/>
      <c r="L243" s="729"/>
      <c r="M243" s="869"/>
      <c r="N243" s="729"/>
      <c r="O243" s="729"/>
    </row>
    <row r="244" spans="3:15">
      <c r="C244" s="720">
        <f>IF(D184="","-",+C243+1)</f>
        <v>2066</v>
      </c>
      <c r="D244" s="673">
        <f t="shared" si="7"/>
        <v>0</v>
      </c>
      <c r="E244" s="726">
        <f t="shared" si="11"/>
        <v>0</v>
      </c>
      <c r="F244" s="673">
        <f t="shared" si="6"/>
        <v>0</v>
      </c>
      <c r="G244" s="1263">
        <f t="shared" si="8"/>
        <v>0</v>
      </c>
      <c r="H244" s="1266">
        <f t="shared" si="9"/>
        <v>0</v>
      </c>
      <c r="I244" s="724">
        <f t="shared" si="10"/>
        <v>0</v>
      </c>
      <c r="J244" s="724"/>
      <c r="K244" s="869"/>
      <c r="L244" s="729"/>
      <c r="M244" s="869"/>
      <c r="N244" s="729"/>
      <c r="O244" s="729"/>
    </row>
    <row r="245" spans="3:15">
      <c r="C245" s="720">
        <f>IF(D184="","-",+C244+1)</f>
        <v>2067</v>
      </c>
      <c r="D245" s="673">
        <f t="shared" si="7"/>
        <v>0</v>
      </c>
      <c r="E245" s="726">
        <f t="shared" si="11"/>
        <v>0</v>
      </c>
      <c r="F245" s="673">
        <f t="shared" si="6"/>
        <v>0</v>
      </c>
      <c r="G245" s="1263">
        <f t="shared" si="8"/>
        <v>0</v>
      </c>
      <c r="H245" s="1266">
        <f t="shared" si="9"/>
        <v>0</v>
      </c>
      <c r="I245" s="724">
        <f t="shared" si="10"/>
        <v>0</v>
      </c>
      <c r="J245" s="724"/>
      <c r="K245" s="869"/>
      <c r="L245" s="729"/>
      <c r="M245" s="869"/>
      <c r="N245" s="729"/>
      <c r="O245" s="729"/>
    </row>
    <row r="246" spans="3:15">
      <c r="C246" s="720">
        <f>IF(D184="","-",+C245+1)</f>
        <v>2068</v>
      </c>
      <c r="D246" s="673">
        <f t="shared" si="7"/>
        <v>0</v>
      </c>
      <c r="E246" s="726">
        <f t="shared" si="11"/>
        <v>0</v>
      </c>
      <c r="F246" s="673">
        <f t="shared" si="6"/>
        <v>0</v>
      </c>
      <c r="G246" s="1263">
        <f t="shared" si="8"/>
        <v>0</v>
      </c>
      <c r="H246" s="1266">
        <f t="shared" si="9"/>
        <v>0</v>
      </c>
      <c r="I246" s="724">
        <f t="shared" si="10"/>
        <v>0</v>
      </c>
      <c r="J246" s="724"/>
      <c r="K246" s="869"/>
      <c r="L246" s="729"/>
      <c r="M246" s="869"/>
      <c r="N246" s="729"/>
      <c r="O246" s="729"/>
    </row>
    <row r="247" spans="3:15">
      <c r="C247" s="720">
        <f>IF(D184="","-",+C246+1)</f>
        <v>2069</v>
      </c>
      <c r="D247" s="673">
        <f t="shared" si="7"/>
        <v>0</v>
      </c>
      <c r="E247" s="726">
        <f t="shared" si="11"/>
        <v>0</v>
      </c>
      <c r="F247" s="673">
        <f t="shared" si="6"/>
        <v>0</v>
      </c>
      <c r="G247" s="1263">
        <f t="shared" si="8"/>
        <v>0</v>
      </c>
      <c r="H247" s="1266">
        <f t="shared" si="9"/>
        <v>0</v>
      </c>
      <c r="I247" s="724">
        <f t="shared" si="10"/>
        <v>0</v>
      </c>
      <c r="J247" s="724"/>
      <c r="K247" s="869"/>
      <c r="L247" s="729"/>
      <c r="M247" s="869"/>
      <c r="N247" s="729"/>
      <c r="O247" s="729"/>
    </row>
    <row r="248" spans="3:15">
      <c r="C248" s="720">
        <f>IF(D184="","-",+C247+1)</f>
        <v>2070</v>
      </c>
      <c r="D248" s="673">
        <f t="shared" si="7"/>
        <v>0</v>
      </c>
      <c r="E248" s="726">
        <f t="shared" si="11"/>
        <v>0</v>
      </c>
      <c r="F248" s="673">
        <f t="shared" si="6"/>
        <v>0</v>
      </c>
      <c r="G248" s="1263">
        <f t="shared" si="8"/>
        <v>0</v>
      </c>
      <c r="H248" s="1266">
        <f t="shared" si="9"/>
        <v>0</v>
      </c>
      <c r="I248" s="724">
        <f t="shared" si="10"/>
        <v>0</v>
      </c>
      <c r="J248" s="724"/>
      <c r="K248" s="869"/>
      <c r="L248" s="729"/>
      <c r="M248" s="869"/>
      <c r="N248" s="729"/>
      <c r="O248" s="729"/>
    </row>
    <row r="249" spans="3:15" ht="13.5" thickBot="1">
      <c r="C249" s="730">
        <f>IF(D184="","-",+C248+1)</f>
        <v>2071</v>
      </c>
      <c r="D249" s="731">
        <f t="shared" si="7"/>
        <v>0</v>
      </c>
      <c r="E249" s="732">
        <f t="shared" si="11"/>
        <v>0</v>
      </c>
      <c r="F249" s="731">
        <f t="shared" si="6"/>
        <v>0</v>
      </c>
      <c r="G249" s="1274">
        <f t="shared" si="8"/>
        <v>0</v>
      </c>
      <c r="H249" s="1274">
        <f t="shared" si="9"/>
        <v>0</v>
      </c>
      <c r="I249" s="734">
        <f t="shared" si="10"/>
        <v>0</v>
      </c>
      <c r="J249" s="724"/>
      <c r="K249" s="870"/>
      <c r="L249" s="736"/>
      <c r="M249" s="870"/>
      <c r="N249" s="736"/>
      <c r="O249" s="736"/>
    </row>
    <row r="250" spans="3:15">
      <c r="C250" s="673" t="s">
        <v>288</v>
      </c>
      <c r="D250" s="1242"/>
      <c r="E250" s="673"/>
      <c r="F250" s="1242"/>
      <c r="G250" s="1242">
        <f>SUM(G190:G249)</f>
        <v>29484201.016644865</v>
      </c>
      <c r="H250" s="1242">
        <f>SUM(H190:H249)</f>
        <v>29484201.016644865</v>
      </c>
      <c r="I250" s="1242">
        <f>SUM(I190:I249)</f>
        <v>0</v>
      </c>
      <c r="J250" s="1242"/>
      <c r="K250" s="1242"/>
      <c r="L250" s="1242"/>
      <c r="M250" s="1242"/>
      <c r="N250" s="1242"/>
      <c r="O250" s="542"/>
    </row>
    <row r="251" spans="3:15">
      <c r="D251" s="563"/>
      <c r="E251" s="542"/>
      <c r="F251" s="542"/>
      <c r="G251" s="542"/>
      <c r="H251" s="1241"/>
      <c r="I251" s="1241"/>
      <c r="J251" s="1242"/>
      <c r="K251" s="1241"/>
      <c r="L251" s="1241"/>
      <c r="M251" s="1241"/>
      <c r="N251" s="1241"/>
      <c r="O251" s="542"/>
    </row>
    <row r="252" spans="3:15">
      <c r="C252" s="542" t="s">
        <v>595</v>
      </c>
      <c r="D252" s="563"/>
      <c r="E252" s="542"/>
      <c r="F252" s="542"/>
      <c r="G252" s="542"/>
      <c r="H252" s="1241"/>
      <c r="I252" s="1241"/>
      <c r="J252" s="1242"/>
      <c r="K252" s="1241"/>
      <c r="L252" s="1241"/>
      <c r="M252" s="1241"/>
      <c r="N252" s="1241"/>
      <c r="O252" s="542"/>
    </row>
    <row r="253" spans="3:15">
      <c r="C253" s="542"/>
      <c r="D253" s="563"/>
      <c r="E253" s="542"/>
      <c r="F253" s="542"/>
      <c r="G253" s="542"/>
      <c r="H253" s="1241"/>
      <c r="I253" s="1241"/>
      <c r="J253" s="1242"/>
      <c r="K253" s="1241"/>
      <c r="L253" s="1241"/>
      <c r="M253" s="1241"/>
      <c r="N253" s="1241"/>
      <c r="O253" s="542"/>
    </row>
    <row r="254" spans="3:15">
      <c r="C254" s="684" t="s">
        <v>934</v>
      </c>
      <c r="D254" s="673"/>
      <c r="E254" s="673"/>
      <c r="F254" s="673"/>
      <c r="G254" s="1242"/>
      <c r="H254" s="1242"/>
      <c r="I254" s="674"/>
      <c r="J254" s="674"/>
      <c r="K254" s="674"/>
      <c r="L254" s="674"/>
      <c r="M254" s="674"/>
      <c r="N254" s="674"/>
      <c r="O254" s="542"/>
    </row>
    <row r="255" spans="3:15">
      <c r="C255" s="684" t="s">
        <v>476</v>
      </c>
      <c r="D255" s="673"/>
      <c r="E255" s="673"/>
      <c r="F255" s="673"/>
      <c r="G255" s="1242"/>
      <c r="H255" s="1242"/>
      <c r="I255" s="674"/>
      <c r="J255" s="674"/>
      <c r="K255" s="674"/>
      <c r="L255" s="674"/>
      <c r="M255" s="674"/>
      <c r="N255" s="674"/>
      <c r="O255" s="542"/>
    </row>
    <row r="256" spans="3:15">
      <c r="C256" s="672" t="s">
        <v>289</v>
      </c>
      <c r="D256" s="673"/>
      <c r="E256" s="673"/>
      <c r="F256" s="673"/>
      <c r="G256" s="1242"/>
      <c r="H256" s="1242"/>
      <c r="I256" s="674"/>
      <c r="J256" s="674"/>
      <c r="K256" s="674"/>
      <c r="L256" s="674"/>
      <c r="M256" s="674"/>
      <c r="N256" s="674"/>
      <c r="O256" s="542"/>
    </row>
    <row r="257" spans="1:16">
      <c r="C257" s="672"/>
      <c r="D257" s="673"/>
      <c r="E257" s="673"/>
      <c r="F257" s="673"/>
      <c r="G257" s="1242"/>
      <c r="H257" s="1242"/>
      <c r="I257" s="674"/>
      <c r="J257" s="674"/>
      <c r="K257" s="674"/>
      <c r="L257" s="674"/>
      <c r="M257" s="674"/>
      <c r="N257" s="674"/>
      <c r="O257" s="542"/>
    </row>
    <row r="258" spans="1:16">
      <c r="C258" s="1701" t="s">
        <v>460</v>
      </c>
      <c r="D258" s="1701"/>
      <c r="E258" s="1701"/>
      <c r="F258" s="1701"/>
      <c r="G258" s="1701"/>
      <c r="H258" s="1701"/>
      <c r="I258" s="1701"/>
      <c r="J258" s="1701"/>
      <c r="K258" s="1701"/>
      <c r="L258" s="1701"/>
      <c r="M258" s="1701"/>
      <c r="N258" s="1701"/>
      <c r="O258" s="1701"/>
    </row>
    <row r="259" spans="1:16">
      <c r="C259" s="1701"/>
      <c r="D259" s="1701"/>
      <c r="E259" s="1701"/>
      <c r="F259" s="1701"/>
      <c r="G259" s="1701"/>
      <c r="H259" s="1701"/>
      <c r="I259" s="1701"/>
      <c r="J259" s="1701"/>
      <c r="K259" s="1701"/>
      <c r="L259" s="1701"/>
      <c r="M259" s="1701"/>
      <c r="N259" s="1701"/>
      <c r="O259" s="1701"/>
    </row>
    <row r="260" spans="1:16" ht="18">
      <c r="H260" s="1275"/>
      <c r="N260" s="591" t="str">
        <f>"Page "&amp;SUM(P$6:P260)&amp;" of "</f>
        <v xml:space="preserve">Page 3 of </v>
      </c>
      <c r="O260" s="592">
        <f>COUNT(P$6:P$59579)</f>
        <v>22</v>
      </c>
      <c r="P260" s="542">
        <v>1</v>
      </c>
    </row>
    <row r="261" spans="1:16" ht="20.25">
      <c r="A261" s="675" t="s">
        <v>931</v>
      </c>
      <c r="B261" s="576"/>
      <c r="C261" s="655"/>
      <c r="D261" s="563"/>
      <c r="E261" s="542"/>
      <c r="F261" s="645"/>
      <c r="G261" s="542"/>
      <c r="H261" s="1241"/>
      <c r="K261" s="676"/>
      <c r="L261" s="676"/>
      <c r="M261" s="676"/>
      <c r="N261" s="1278" t="str">
        <f>"Page "&amp;SUM(P$6:P261)&amp;" of "</f>
        <v xml:space="preserve">Page 3 of </v>
      </c>
      <c r="O261" s="1279">
        <f>COUNT(P$6:P$59579)</f>
        <v>22</v>
      </c>
    </row>
    <row r="262" spans="1:16">
      <c r="B262" s="576"/>
      <c r="C262" s="542"/>
      <c r="D262" s="563"/>
      <c r="E262" s="542"/>
      <c r="F262" s="542"/>
      <c r="G262" s="542"/>
      <c r="H262" s="1241"/>
      <c r="I262" s="542"/>
      <c r="J262" s="588"/>
      <c r="K262" s="542"/>
      <c r="L262" s="542"/>
      <c r="M262" s="542"/>
      <c r="N262" s="542"/>
      <c r="O262" s="542"/>
    </row>
    <row r="263" spans="1:16" ht="18">
      <c r="B263" s="595" t="s">
        <v>174</v>
      </c>
      <c r="C263" s="677" t="s">
        <v>290</v>
      </c>
      <c r="D263" s="563"/>
      <c r="E263" s="542"/>
      <c r="F263" s="542"/>
      <c r="G263" s="542"/>
      <c r="H263" s="1241"/>
      <c r="I263" s="1241"/>
      <c r="J263" s="1242"/>
      <c r="K263" s="1241"/>
      <c r="L263" s="1241"/>
      <c r="M263" s="1241"/>
      <c r="N263" s="1241"/>
      <c r="O263" s="542"/>
    </row>
    <row r="264" spans="1:16" ht="18.75">
      <c r="B264" s="595"/>
      <c r="C264" s="594"/>
      <c r="D264" s="563"/>
      <c r="E264" s="542"/>
      <c r="F264" s="542"/>
      <c r="G264" s="542"/>
      <c r="H264" s="1241"/>
      <c r="I264" s="1241"/>
      <c r="J264" s="1242"/>
      <c r="K264" s="1241"/>
      <c r="L264" s="1241"/>
      <c r="M264" s="1241"/>
      <c r="N264" s="1241"/>
      <c r="O264" s="542"/>
    </row>
    <row r="265" spans="1:16" ht="18.75">
      <c r="B265" s="595"/>
      <c r="C265" s="594" t="s">
        <v>291</v>
      </c>
      <c r="D265" s="563"/>
      <c r="E265" s="542"/>
      <c r="F265" s="542"/>
      <c r="G265" s="542"/>
      <c r="H265" s="1241"/>
      <c r="I265" s="1241"/>
      <c r="J265" s="1242"/>
      <c r="K265" s="1241"/>
      <c r="L265" s="1241"/>
      <c r="M265" s="1241"/>
      <c r="N265" s="1241"/>
      <c r="O265" s="542"/>
    </row>
    <row r="266" spans="1:16" ht="15.75" thickBot="1">
      <c r="C266" s="396"/>
      <c r="D266" s="563"/>
      <c r="E266" s="542"/>
      <c r="F266" s="542"/>
      <c r="G266" s="542"/>
      <c r="H266" s="1241"/>
      <c r="I266" s="1241"/>
      <c r="J266" s="1242"/>
      <c r="K266" s="1241"/>
      <c r="L266" s="1241"/>
      <c r="M266" s="1241"/>
      <c r="N266" s="1241"/>
      <c r="O266" s="542"/>
    </row>
    <row r="267" spans="1:16" ht="15.75">
      <c r="C267" s="596" t="s">
        <v>292</v>
      </c>
      <c r="D267" s="563"/>
      <c r="E267" s="542"/>
      <c r="F267" s="542"/>
      <c r="G267" s="1243"/>
      <c r="H267" s="542" t="s">
        <v>271</v>
      </c>
      <c r="I267" s="542"/>
      <c r="J267" s="588"/>
      <c r="K267" s="678" t="s">
        <v>296</v>
      </c>
      <c r="L267" s="679"/>
      <c r="M267" s="680"/>
      <c r="N267" s="1244">
        <f>VLOOKUP(I273,C280:O339,5)</f>
        <v>148831.21063580195</v>
      </c>
      <c r="O267" s="542"/>
    </row>
    <row r="268" spans="1:16" ht="15.75">
      <c r="C268" s="596"/>
      <c r="D268" s="563"/>
      <c r="E268" s="542"/>
      <c r="F268" s="542"/>
      <c r="G268" s="542"/>
      <c r="H268" s="1245"/>
      <c r="I268" s="1245"/>
      <c r="J268" s="1246"/>
      <c r="K268" s="683" t="s">
        <v>297</v>
      </c>
      <c r="L268" s="1247"/>
      <c r="M268" s="588"/>
      <c r="N268" s="1248">
        <f>VLOOKUP(I273,C280:O339,6)</f>
        <v>148831.21063580195</v>
      </c>
      <c r="O268" s="542"/>
    </row>
    <row r="269" spans="1:16" ht="13.5" thickBot="1">
      <c r="C269" s="684" t="s">
        <v>293</v>
      </c>
      <c r="D269" s="1711" t="s">
        <v>936</v>
      </c>
      <c r="E269" s="1711"/>
      <c r="F269" s="1711"/>
      <c r="G269" s="1711"/>
      <c r="H269" s="1241"/>
      <c r="I269" s="1241"/>
      <c r="J269" s="1242"/>
      <c r="K269" s="1249" t="s">
        <v>450</v>
      </c>
      <c r="L269" s="1250"/>
      <c r="M269" s="1250"/>
      <c r="N269" s="1251">
        <f>+N268-N267</f>
        <v>0</v>
      </c>
      <c r="O269" s="542"/>
    </row>
    <row r="270" spans="1:16">
      <c r="C270" s="686"/>
      <c r="D270" s="687"/>
      <c r="E270" s="671"/>
      <c r="F270" s="671"/>
      <c r="G270" s="688"/>
      <c r="H270" s="1241"/>
      <c r="I270" s="1241"/>
      <c r="J270" s="1242"/>
      <c r="K270" s="1241"/>
      <c r="L270" s="1241"/>
      <c r="M270" s="1241"/>
      <c r="N270" s="1241"/>
      <c r="O270" s="542"/>
    </row>
    <row r="271" spans="1:16" ht="13.5" thickBot="1">
      <c r="C271" s="689"/>
      <c r="D271" s="1252"/>
      <c r="E271" s="688"/>
      <c r="F271" s="688"/>
      <c r="G271" s="688"/>
      <c r="H271" s="688"/>
      <c r="I271" s="688"/>
      <c r="J271" s="691"/>
      <c r="K271" s="688"/>
      <c r="L271" s="688"/>
      <c r="M271" s="688"/>
      <c r="N271" s="688"/>
      <c r="O271" s="576"/>
    </row>
    <row r="272" spans="1:16" ht="13.5" thickBot="1">
      <c r="C272" s="692" t="s">
        <v>294</v>
      </c>
      <c r="D272" s="693"/>
      <c r="E272" s="693"/>
      <c r="F272" s="693"/>
      <c r="G272" s="693"/>
      <c r="H272" s="693"/>
      <c r="I272" s="694"/>
      <c r="J272" s="695"/>
      <c r="K272" s="542"/>
      <c r="L272" s="542"/>
      <c r="M272" s="542"/>
      <c r="N272" s="542"/>
      <c r="O272" s="696"/>
    </row>
    <row r="273" spans="1:15" ht="15">
      <c r="C273" s="697" t="s">
        <v>272</v>
      </c>
      <c r="D273" s="1253">
        <v>937776</v>
      </c>
      <c r="E273" s="655" t="s">
        <v>273</v>
      </c>
      <c r="G273" s="698"/>
      <c r="H273" s="698"/>
      <c r="I273" s="699">
        <v>2018</v>
      </c>
      <c r="J273" s="586"/>
      <c r="K273" s="1702" t="s">
        <v>459</v>
      </c>
      <c r="L273" s="1702"/>
      <c r="M273" s="1702"/>
      <c r="N273" s="1702"/>
      <c r="O273" s="1702"/>
    </row>
    <row r="274" spans="1:15">
      <c r="C274" s="697" t="s">
        <v>275</v>
      </c>
      <c r="D274" s="873">
        <v>2013</v>
      </c>
      <c r="E274" s="697" t="s">
        <v>276</v>
      </c>
      <c r="F274" s="698"/>
      <c r="H274" s="330"/>
      <c r="I274" s="1254">
        <f>IF(G267="",0,$F$15)</f>
        <v>0</v>
      </c>
      <c r="J274" s="700"/>
      <c r="K274" s="1242" t="s">
        <v>459</v>
      </c>
    </row>
    <row r="275" spans="1:15">
      <c r="C275" s="697" t="s">
        <v>277</v>
      </c>
      <c r="D275" s="1280">
        <v>6</v>
      </c>
      <c r="E275" s="697" t="s">
        <v>278</v>
      </c>
      <c r="F275" s="698"/>
      <c r="H275" s="330"/>
      <c r="I275" s="701">
        <f>$G$70</f>
        <v>0.15341253840442806</v>
      </c>
      <c r="J275" s="702"/>
      <c r="K275" s="330" t="str">
        <f>"          INPUT PROJECTED ARR (WITH &amp; WITHOUT INCENTIVES) FROM EACH PRIOR YEAR"</f>
        <v xml:space="preserve">          INPUT PROJECTED ARR (WITH &amp; WITHOUT INCENTIVES) FROM EACH PRIOR YEAR</v>
      </c>
    </row>
    <row r="276" spans="1:15">
      <c r="C276" s="697" t="s">
        <v>279</v>
      </c>
      <c r="D276" s="703">
        <f>G$79</f>
        <v>44</v>
      </c>
      <c r="E276" s="697" t="s">
        <v>280</v>
      </c>
      <c r="F276" s="698"/>
      <c r="H276" s="330"/>
      <c r="I276" s="701">
        <f>IF(G267="",I275,$G$67)</f>
        <v>0.15341253840442806</v>
      </c>
      <c r="J276" s="704"/>
      <c r="K276" s="330" t="s">
        <v>357</v>
      </c>
    </row>
    <row r="277" spans="1:15" ht="13.5" thickBot="1">
      <c r="C277" s="697" t="s">
        <v>281</v>
      </c>
      <c r="D277" s="866" t="s">
        <v>933</v>
      </c>
      <c r="E277" s="705" t="s">
        <v>282</v>
      </c>
      <c r="F277" s="706"/>
      <c r="G277" s="707"/>
      <c r="H277" s="707"/>
      <c r="I277" s="1251">
        <f>IF(D273=0,0,D273/D276)</f>
        <v>21313.090909090908</v>
      </c>
      <c r="J277" s="1242"/>
      <c r="K277" s="1242" t="s">
        <v>363</v>
      </c>
      <c r="L277" s="1242"/>
      <c r="M277" s="1242"/>
      <c r="N277" s="1242"/>
      <c r="O277" s="588"/>
    </row>
    <row r="278" spans="1:15" ht="51">
      <c r="A278" s="529"/>
      <c r="B278" s="1255"/>
      <c r="C278" s="708" t="s">
        <v>272</v>
      </c>
      <c r="D278" s="1256" t="s">
        <v>283</v>
      </c>
      <c r="E278" s="1257" t="s">
        <v>284</v>
      </c>
      <c r="F278" s="1256" t="s">
        <v>285</v>
      </c>
      <c r="G278" s="1257" t="s">
        <v>356</v>
      </c>
      <c r="H278" s="1258" t="s">
        <v>356</v>
      </c>
      <c r="I278" s="708" t="s">
        <v>295</v>
      </c>
      <c r="J278" s="712"/>
      <c r="K278" s="1257" t="s">
        <v>365</v>
      </c>
      <c r="L278" s="1259"/>
      <c r="M278" s="1257" t="s">
        <v>365</v>
      </c>
      <c r="N278" s="1259"/>
      <c r="O278" s="1259"/>
    </row>
    <row r="279" spans="1:15" ht="13.5" thickBot="1">
      <c r="C279" s="714" t="s">
        <v>177</v>
      </c>
      <c r="D279" s="715" t="s">
        <v>178</v>
      </c>
      <c r="E279" s="714" t="s">
        <v>37</v>
      </c>
      <c r="F279" s="715" t="s">
        <v>178</v>
      </c>
      <c r="G279" s="1260" t="s">
        <v>298</v>
      </c>
      <c r="H279" s="1261" t="s">
        <v>300</v>
      </c>
      <c r="I279" s="718" t="s">
        <v>389</v>
      </c>
      <c r="J279" s="719"/>
      <c r="K279" s="1260" t="s">
        <v>287</v>
      </c>
      <c r="L279" s="1262"/>
      <c r="M279" s="1260" t="s">
        <v>300</v>
      </c>
      <c r="N279" s="1262"/>
      <c r="O279" s="1262"/>
    </row>
    <row r="280" spans="1:15">
      <c r="C280" s="720">
        <f>IF(D274= "","-",D274)</f>
        <v>2013</v>
      </c>
      <c r="D280" s="673">
        <f>+D273</f>
        <v>937776</v>
      </c>
      <c r="E280" s="1263">
        <f>+I277/12*(12-D275)</f>
        <v>10656.545454545454</v>
      </c>
      <c r="F280" s="673">
        <f t="shared" ref="F280:F339" si="12">+D280-E280</f>
        <v>927119.45454545459</v>
      </c>
      <c r="G280" s="1264">
        <f>+$I$275*((D280+F280)/2)+E280</f>
        <v>153705.71822489437</v>
      </c>
      <c r="H280" s="1265">
        <f>$I$276*((D280+F280)/2)+E280</f>
        <v>153705.71822489437</v>
      </c>
      <c r="I280" s="724">
        <f>+H280-G280</f>
        <v>0</v>
      </c>
      <c r="J280" s="724"/>
      <c r="K280" s="1277">
        <v>219263</v>
      </c>
      <c r="L280" s="725"/>
      <c r="M280" s="1277">
        <v>219263</v>
      </c>
      <c r="N280" s="725"/>
      <c r="O280" s="725"/>
    </row>
    <row r="281" spans="1:15">
      <c r="C281" s="720">
        <f>IF(D274="","-",+C280+1)</f>
        <v>2014</v>
      </c>
      <c r="D281" s="673">
        <f t="shared" ref="D281:D339" si="13">F280</f>
        <v>927119.45454545459</v>
      </c>
      <c r="E281" s="726">
        <f>IF(D281&gt;$I$277,$I$277,D281)</f>
        <v>21313.090909090908</v>
      </c>
      <c r="F281" s="673">
        <f t="shared" si="12"/>
        <v>905806.36363636365</v>
      </c>
      <c r="G281" s="1263">
        <f t="shared" ref="G281:G339" si="14">+$I$275*((D281+F281)/2)+E281</f>
        <v>161909.99214623388</v>
      </c>
      <c r="H281" s="1266">
        <f t="shared" ref="H281:H339" si="15">$I$276*((D281+F281)/2)+E281</f>
        <v>161909.99214623388</v>
      </c>
      <c r="I281" s="724">
        <f t="shared" ref="I281:I339" si="16">+H281-G281</f>
        <v>0</v>
      </c>
      <c r="J281" s="724"/>
      <c r="K281" s="1267">
        <v>203042</v>
      </c>
      <c r="L281" s="729"/>
      <c r="M281" s="1267">
        <v>203042</v>
      </c>
      <c r="N281" s="729"/>
      <c r="O281" s="729"/>
    </row>
    <row r="282" spans="1:15">
      <c r="C282" s="720">
        <f>IF(D274="","-",+C281+1)</f>
        <v>2015</v>
      </c>
      <c r="D282" s="673">
        <f>F281</f>
        <v>905806.36363636365</v>
      </c>
      <c r="E282" s="726">
        <f t="shared" ref="E282:E339" si="17">IF(D282&gt;$I$277,$I$277,D282)</f>
        <v>21313.090909090908</v>
      </c>
      <c r="F282" s="673">
        <f t="shared" si="12"/>
        <v>884493.27272727271</v>
      </c>
      <c r="G282" s="1263">
        <f t="shared" si="14"/>
        <v>158640.29676862588</v>
      </c>
      <c r="H282" s="1266">
        <f t="shared" si="15"/>
        <v>158640.29676862588</v>
      </c>
      <c r="I282" s="724">
        <f t="shared" si="16"/>
        <v>0</v>
      </c>
      <c r="J282" s="724"/>
      <c r="K282" s="1267">
        <v>228159</v>
      </c>
      <c r="L282" s="729"/>
      <c r="M282" s="1267">
        <v>228159</v>
      </c>
      <c r="N282" s="729"/>
      <c r="O282" s="729"/>
    </row>
    <row r="283" spans="1:15">
      <c r="C283" s="720">
        <f>IF(D274="","-",+C282+1)</f>
        <v>2016</v>
      </c>
      <c r="D283" s="673">
        <f t="shared" si="13"/>
        <v>884493.27272727271</v>
      </c>
      <c r="E283" s="726">
        <f t="shared" si="17"/>
        <v>21313.090909090908</v>
      </c>
      <c r="F283" s="673">
        <f t="shared" si="12"/>
        <v>863180.18181818177</v>
      </c>
      <c r="G283" s="1263">
        <f t="shared" si="14"/>
        <v>155370.60139101793</v>
      </c>
      <c r="H283" s="1266">
        <f t="shared" si="15"/>
        <v>155370.60139101793</v>
      </c>
      <c r="I283" s="724">
        <f t="shared" si="16"/>
        <v>0</v>
      </c>
      <c r="J283" s="724"/>
      <c r="K283" s="1267">
        <v>81330</v>
      </c>
      <c r="L283" s="729"/>
      <c r="M283" s="1267">
        <v>81330</v>
      </c>
      <c r="N283" s="729"/>
      <c r="O283" s="729"/>
    </row>
    <row r="284" spans="1:15">
      <c r="C284" s="720">
        <f>IF(D274="","-",+C283+1)</f>
        <v>2017</v>
      </c>
      <c r="D284" s="673">
        <f t="shared" si="13"/>
        <v>863180.18181818177</v>
      </c>
      <c r="E284" s="726">
        <f t="shared" si="17"/>
        <v>21313.090909090908</v>
      </c>
      <c r="F284" s="673">
        <f t="shared" si="12"/>
        <v>841867.09090909082</v>
      </c>
      <c r="G284" s="1263">
        <f t="shared" si="14"/>
        <v>152100.9060134099</v>
      </c>
      <c r="H284" s="1266">
        <f t="shared" si="15"/>
        <v>152100.9060134099</v>
      </c>
      <c r="I284" s="724">
        <f t="shared" si="16"/>
        <v>0</v>
      </c>
      <c r="J284" s="724"/>
      <c r="K284" s="1267">
        <v>222274</v>
      </c>
      <c r="L284" s="729"/>
      <c r="M284" s="1267">
        <v>222274</v>
      </c>
      <c r="N284" s="729"/>
      <c r="O284" s="729"/>
    </row>
    <row r="285" spans="1:15">
      <c r="C285" s="1268">
        <f>IF(D274="","-",+C284+1)</f>
        <v>2018</v>
      </c>
      <c r="D285" s="1269">
        <f t="shared" si="13"/>
        <v>841867.09090909082</v>
      </c>
      <c r="E285" s="1270">
        <f t="shared" si="17"/>
        <v>21313.090909090908</v>
      </c>
      <c r="F285" s="1269">
        <f t="shared" si="12"/>
        <v>820553.99999999988</v>
      </c>
      <c r="G285" s="1271">
        <f t="shared" si="14"/>
        <v>148831.21063580195</v>
      </c>
      <c r="H285" s="1272">
        <f t="shared" si="15"/>
        <v>148831.21063580195</v>
      </c>
      <c r="I285" s="1273">
        <f t="shared" si="16"/>
        <v>0</v>
      </c>
      <c r="J285" s="724"/>
      <c r="K285" s="869"/>
      <c r="L285" s="729"/>
      <c r="M285" s="869"/>
      <c r="N285" s="729"/>
      <c r="O285" s="729"/>
    </row>
    <row r="286" spans="1:15">
      <c r="C286" s="720">
        <f>IF(D274="","-",+C285+1)</f>
        <v>2019</v>
      </c>
      <c r="D286" s="673">
        <f t="shared" si="13"/>
        <v>820553.99999999988</v>
      </c>
      <c r="E286" s="726">
        <f t="shared" si="17"/>
        <v>21313.090909090908</v>
      </c>
      <c r="F286" s="673">
        <f t="shared" si="12"/>
        <v>799240.90909090894</v>
      </c>
      <c r="G286" s="1263">
        <f t="shared" si="14"/>
        <v>145561.51525819395</v>
      </c>
      <c r="H286" s="1266">
        <f t="shared" si="15"/>
        <v>145561.51525819395</v>
      </c>
      <c r="I286" s="724">
        <f t="shared" si="16"/>
        <v>0</v>
      </c>
      <c r="J286" s="724"/>
      <c r="K286" s="869"/>
      <c r="L286" s="729"/>
      <c r="M286" s="869"/>
      <c r="N286" s="729"/>
      <c r="O286" s="729"/>
    </row>
    <row r="287" spans="1:15">
      <c r="C287" s="720">
        <f>IF(D274="","-",+C286+1)</f>
        <v>2020</v>
      </c>
      <c r="D287" s="673">
        <f t="shared" si="13"/>
        <v>799240.90909090894</v>
      </c>
      <c r="E287" s="726">
        <f t="shared" si="17"/>
        <v>21313.090909090908</v>
      </c>
      <c r="F287" s="673">
        <f t="shared" si="12"/>
        <v>777927.818181818</v>
      </c>
      <c r="G287" s="1263">
        <f t="shared" si="14"/>
        <v>142291.819880586</v>
      </c>
      <c r="H287" s="1266">
        <f t="shared" si="15"/>
        <v>142291.819880586</v>
      </c>
      <c r="I287" s="724">
        <f t="shared" si="16"/>
        <v>0</v>
      </c>
      <c r="J287" s="724"/>
      <c r="K287" s="869"/>
      <c r="L287" s="729"/>
      <c r="M287" s="869"/>
      <c r="N287" s="729"/>
      <c r="O287" s="729"/>
    </row>
    <row r="288" spans="1:15">
      <c r="C288" s="720">
        <f>IF(D274="","-",+C287+1)</f>
        <v>2021</v>
      </c>
      <c r="D288" s="673">
        <f t="shared" si="13"/>
        <v>777927.818181818</v>
      </c>
      <c r="E288" s="726">
        <f t="shared" si="17"/>
        <v>21313.090909090908</v>
      </c>
      <c r="F288" s="673">
        <f t="shared" si="12"/>
        <v>756614.72727272706</v>
      </c>
      <c r="G288" s="1263">
        <f t="shared" si="14"/>
        <v>139022.124502978</v>
      </c>
      <c r="H288" s="1266">
        <f t="shared" si="15"/>
        <v>139022.124502978</v>
      </c>
      <c r="I288" s="724">
        <f t="shared" si="16"/>
        <v>0</v>
      </c>
      <c r="J288" s="724"/>
      <c r="K288" s="869"/>
      <c r="L288" s="729"/>
      <c r="M288" s="869"/>
      <c r="N288" s="729"/>
      <c r="O288" s="729"/>
    </row>
    <row r="289" spans="3:15">
      <c r="C289" s="720">
        <f>IF(D274="","-",+C288+1)</f>
        <v>2022</v>
      </c>
      <c r="D289" s="673">
        <f t="shared" si="13"/>
        <v>756614.72727272706</v>
      </c>
      <c r="E289" s="726">
        <f t="shared" si="17"/>
        <v>21313.090909090908</v>
      </c>
      <c r="F289" s="673">
        <f t="shared" si="12"/>
        <v>735301.63636363612</v>
      </c>
      <c r="G289" s="1263">
        <f t="shared" si="14"/>
        <v>135752.42912537002</v>
      </c>
      <c r="H289" s="1266">
        <f t="shared" si="15"/>
        <v>135752.42912537002</v>
      </c>
      <c r="I289" s="724">
        <f t="shared" si="16"/>
        <v>0</v>
      </c>
      <c r="J289" s="724"/>
      <c r="K289" s="869"/>
      <c r="L289" s="729"/>
      <c r="M289" s="869"/>
      <c r="N289" s="729"/>
      <c r="O289" s="729"/>
    </row>
    <row r="290" spans="3:15">
      <c r="C290" s="720">
        <f>IF(D274="","-",+C289+1)</f>
        <v>2023</v>
      </c>
      <c r="D290" s="673">
        <f t="shared" si="13"/>
        <v>735301.63636363612</v>
      </c>
      <c r="E290" s="726">
        <f t="shared" si="17"/>
        <v>21313.090909090908</v>
      </c>
      <c r="F290" s="673">
        <f t="shared" si="12"/>
        <v>713988.54545454518</v>
      </c>
      <c r="G290" s="1263">
        <f t="shared" si="14"/>
        <v>132482.73374776202</v>
      </c>
      <c r="H290" s="1266">
        <f t="shared" si="15"/>
        <v>132482.73374776202</v>
      </c>
      <c r="I290" s="724">
        <f t="shared" si="16"/>
        <v>0</v>
      </c>
      <c r="J290" s="724"/>
      <c r="K290" s="869"/>
      <c r="L290" s="729"/>
      <c r="M290" s="869"/>
      <c r="N290" s="729"/>
      <c r="O290" s="729"/>
    </row>
    <row r="291" spans="3:15">
      <c r="C291" s="720">
        <f>IF(D274="","-",+C290+1)</f>
        <v>2024</v>
      </c>
      <c r="D291" s="673">
        <f t="shared" si="13"/>
        <v>713988.54545454518</v>
      </c>
      <c r="E291" s="726">
        <f t="shared" si="17"/>
        <v>21313.090909090908</v>
      </c>
      <c r="F291" s="673">
        <f t="shared" si="12"/>
        <v>692675.45454545424</v>
      </c>
      <c r="G291" s="1263">
        <f t="shared" si="14"/>
        <v>129213.03837015407</v>
      </c>
      <c r="H291" s="1266">
        <f t="shared" si="15"/>
        <v>129213.03837015407</v>
      </c>
      <c r="I291" s="724">
        <f t="shared" si="16"/>
        <v>0</v>
      </c>
      <c r="J291" s="724"/>
      <c r="K291" s="869"/>
      <c r="L291" s="729"/>
      <c r="M291" s="869"/>
      <c r="N291" s="729"/>
      <c r="O291" s="729"/>
    </row>
    <row r="292" spans="3:15">
      <c r="C292" s="720">
        <f>IF(D274="","-",+C291+1)</f>
        <v>2025</v>
      </c>
      <c r="D292" s="673">
        <f t="shared" si="13"/>
        <v>692675.45454545424</v>
      </c>
      <c r="E292" s="726">
        <f t="shared" si="17"/>
        <v>21313.090909090908</v>
      </c>
      <c r="F292" s="673">
        <f t="shared" si="12"/>
        <v>671362.3636363633</v>
      </c>
      <c r="G292" s="1263">
        <f t="shared" si="14"/>
        <v>125943.34299254608</v>
      </c>
      <c r="H292" s="1266">
        <f t="shared" si="15"/>
        <v>125943.34299254608</v>
      </c>
      <c r="I292" s="724">
        <f t="shared" si="16"/>
        <v>0</v>
      </c>
      <c r="J292" s="724"/>
      <c r="K292" s="869"/>
      <c r="L292" s="729"/>
      <c r="M292" s="869"/>
      <c r="N292" s="729"/>
      <c r="O292" s="729"/>
    </row>
    <row r="293" spans="3:15">
      <c r="C293" s="720">
        <f>IF(D274="","-",+C292+1)</f>
        <v>2026</v>
      </c>
      <c r="D293" s="673">
        <f t="shared" si="13"/>
        <v>671362.3636363633</v>
      </c>
      <c r="E293" s="726">
        <f t="shared" si="17"/>
        <v>21313.090909090908</v>
      </c>
      <c r="F293" s="673">
        <f t="shared" si="12"/>
        <v>650049.27272727236</v>
      </c>
      <c r="G293" s="1263">
        <f t="shared" si="14"/>
        <v>122673.64761493811</v>
      </c>
      <c r="H293" s="1266">
        <f t="shared" si="15"/>
        <v>122673.64761493811</v>
      </c>
      <c r="I293" s="724">
        <f t="shared" si="16"/>
        <v>0</v>
      </c>
      <c r="J293" s="724"/>
      <c r="K293" s="869"/>
      <c r="L293" s="729"/>
      <c r="M293" s="869"/>
      <c r="N293" s="729"/>
      <c r="O293" s="729"/>
    </row>
    <row r="294" spans="3:15">
      <c r="C294" s="720">
        <f>IF(D274="","-",+C293+1)</f>
        <v>2027</v>
      </c>
      <c r="D294" s="673">
        <f t="shared" si="13"/>
        <v>650049.27272727236</v>
      </c>
      <c r="E294" s="726">
        <f t="shared" si="17"/>
        <v>21313.090909090908</v>
      </c>
      <c r="F294" s="673">
        <f t="shared" si="12"/>
        <v>628736.18181818142</v>
      </c>
      <c r="G294" s="1263">
        <f t="shared" si="14"/>
        <v>119403.95223733012</v>
      </c>
      <c r="H294" s="1266">
        <f t="shared" si="15"/>
        <v>119403.95223733012</v>
      </c>
      <c r="I294" s="724">
        <f t="shared" si="16"/>
        <v>0</v>
      </c>
      <c r="J294" s="724"/>
      <c r="K294" s="869"/>
      <c r="L294" s="729"/>
      <c r="M294" s="869"/>
      <c r="N294" s="729"/>
      <c r="O294" s="729"/>
    </row>
    <row r="295" spans="3:15">
      <c r="C295" s="720">
        <f>IF(D274="","-",+C294+1)</f>
        <v>2028</v>
      </c>
      <c r="D295" s="673">
        <f t="shared" si="13"/>
        <v>628736.18181818142</v>
      </c>
      <c r="E295" s="726">
        <f t="shared" si="17"/>
        <v>21313.090909090908</v>
      </c>
      <c r="F295" s="673">
        <f t="shared" si="12"/>
        <v>607423.09090909048</v>
      </c>
      <c r="G295" s="1263">
        <f t="shared" si="14"/>
        <v>116134.25685972215</v>
      </c>
      <c r="H295" s="1266">
        <f t="shared" si="15"/>
        <v>116134.25685972215</v>
      </c>
      <c r="I295" s="724">
        <f t="shared" si="16"/>
        <v>0</v>
      </c>
      <c r="J295" s="724"/>
      <c r="K295" s="869"/>
      <c r="L295" s="729"/>
      <c r="M295" s="869"/>
      <c r="N295" s="729"/>
      <c r="O295" s="729"/>
    </row>
    <row r="296" spans="3:15">
      <c r="C296" s="720">
        <f>IF(D274="","-",+C295+1)</f>
        <v>2029</v>
      </c>
      <c r="D296" s="673">
        <f t="shared" si="13"/>
        <v>607423.09090909048</v>
      </c>
      <c r="E296" s="726">
        <f t="shared" si="17"/>
        <v>21313.090909090908</v>
      </c>
      <c r="F296" s="673">
        <f t="shared" si="12"/>
        <v>586109.99999999953</v>
      </c>
      <c r="G296" s="1263">
        <f t="shared" si="14"/>
        <v>112864.56148211415</v>
      </c>
      <c r="H296" s="1266">
        <f t="shared" si="15"/>
        <v>112864.56148211415</v>
      </c>
      <c r="I296" s="724">
        <f t="shared" si="16"/>
        <v>0</v>
      </c>
      <c r="J296" s="724"/>
      <c r="K296" s="869"/>
      <c r="L296" s="729"/>
      <c r="M296" s="869"/>
      <c r="N296" s="729"/>
      <c r="O296" s="729"/>
    </row>
    <row r="297" spans="3:15">
      <c r="C297" s="720">
        <f>IF(D274="","-",+C296+1)</f>
        <v>2030</v>
      </c>
      <c r="D297" s="673">
        <f t="shared" si="13"/>
        <v>586109.99999999953</v>
      </c>
      <c r="E297" s="726">
        <f t="shared" si="17"/>
        <v>21313.090909090908</v>
      </c>
      <c r="F297" s="673">
        <f t="shared" si="12"/>
        <v>564796.90909090859</v>
      </c>
      <c r="G297" s="1263">
        <f t="shared" si="14"/>
        <v>109594.86610450619</v>
      </c>
      <c r="H297" s="1266">
        <f t="shared" si="15"/>
        <v>109594.86610450619</v>
      </c>
      <c r="I297" s="724">
        <f t="shared" si="16"/>
        <v>0</v>
      </c>
      <c r="J297" s="724"/>
      <c r="K297" s="869"/>
      <c r="L297" s="729"/>
      <c r="M297" s="869"/>
      <c r="N297" s="729"/>
      <c r="O297" s="729"/>
    </row>
    <row r="298" spans="3:15">
      <c r="C298" s="720">
        <f>IF(D274="","-",+C297+1)</f>
        <v>2031</v>
      </c>
      <c r="D298" s="673">
        <f t="shared" si="13"/>
        <v>564796.90909090859</v>
      </c>
      <c r="E298" s="726">
        <f t="shared" si="17"/>
        <v>21313.090909090908</v>
      </c>
      <c r="F298" s="673">
        <f t="shared" si="12"/>
        <v>543483.81818181765</v>
      </c>
      <c r="G298" s="1263">
        <f t="shared" si="14"/>
        <v>106325.17072689818</v>
      </c>
      <c r="H298" s="1266">
        <f t="shared" si="15"/>
        <v>106325.17072689818</v>
      </c>
      <c r="I298" s="724">
        <f t="shared" si="16"/>
        <v>0</v>
      </c>
      <c r="J298" s="724"/>
      <c r="K298" s="869"/>
      <c r="L298" s="729"/>
      <c r="M298" s="869"/>
      <c r="N298" s="729"/>
      <c r="O298" s="729"/>
    </row>
    <row r="299" spans="3:15">
      <c r="C299" s="720">
        <f>IF(D274="","-",+C298+1)</f>
        <v>2032</v>
      </c>
      <c r="D299" s="673">
        <f t="shared" si="13"/>
        <v>543483.81818181765</v>
      </c>
      <c r="E299" s="726">
        <f t="shared" si="17"/>
        <v>21313.090909090908</v>
      </c>
      <c r="F299" s="673">
        <f t="shared" si="12"/>
        <v>522170.72727272677</v>
      </c>
      <c r="G299" s="1263">
        <f t="shared" si="14"/>
        <v>103055.47534929022</v>
      </c>
      <c r="H299" s="1266">
        <f t="shared" si="15"/>
        <v>103055.47534929022</v>
      </c>
      <c r="I299" s="724">
        <f t="shared" si="16"/>
        <v>0</v>
      </c>
      <c r="J299" s="724"/>
      <c r="K299" s="869"/>
      <c r="L299" s="729"/>
      <c r="M299" s="869"/>
      <c r="N299" s="729"/>
      <c r="O299" s="729"/>
    </row>
    <row r="300" spans="3:15">
      <c r="C300" s="720">
        <f>IF(D274="","-",+C299+1)</f>
        <v>2033</v>
      </c>
      <c r="D300" s="673">
        <f t="shared" si="13"/>
        <v>522170.72727272677</v>
      </c>
      <c r="E300" s="726">
        <f t="shared" si="17"/>
        <v>21313.090909090908</v>
      </c>
      <c r="F300" s="673">
        <f t="shared" si="12"/>
        <v>500857.63636363589</v>
      </c>
      <c r="G300" s="1263">
        <f t="shared" si="14"/>
        <v>99785.779971682248</v>
      </c>
      <c r="H300" s="1266">
        <f t="shared" si="15"/>
        <v>99785.779971682248</v>
      </c>
      <c r="I300" s="724">
        <f t="shared" si="16"/>
        <v>0</v>
      </c>
      <c r="J300" s="724"/>
      <c r="K300" s="869"/>
      <c r="L300" s="729"/>
      <c r="M300" s="869"/>
      <c r="N300" s="729"/>
      <c r="O300" s="729"/>
    </row>
    <row r="301" spans="3:15">
      <c r="C301" s="720">
        <f>IF(D274="","-",+C300+1)</f>
        <v>2034</v>
      </c>
      <c r="D301" s="673">
        <f t="shared" si="13"/>
        <v>500857.63636363589</v>
      </c>
      <c r="E301" s="726">
        <f t="shared" si="17"/>
        <v>21313.090909090908</v>
      </c>
      <c r="F301" s="673">
        <f t="shared" si="12"/>
        <v>479544.545454545</v>
      </c>
      <c r="G301" s="1263">
        <f t="shared" si="14"/>
        <v>96516.084594074287</v>
      </c>
      <c r="H301" s="1266">
        <f t="shared" si="15"/>
        <v>96516.084594074287</v>
      </c>
      <c r="I301" s="724">
        <f t="shared" si="16"/>
        <v>0</v>
      </c>
      <c r="J301" s="724"/>
      <c r="K301" s="869"/>
      <c r="L301" s="729"/>
      <c r="M301" s="869"/>
      <c r="N301" s="729"/>
      <c r="O301" s="729"/>
    </row>
    <row r="302" spans="3:15">
      <c r="C302" s="720">
        <f>IF(D274="","-",+C301+1)</f>
        <v>2035</v>
      </c>
      <c r="D302" s="673">
        <f t="shared" si="13"/>
        <v>479544.545454545</v>
      </c>
      <c r="E302" s="726">
        <f t="shared" si="17"/>
        <v>21313.090909090908</v>
      </c>
      <c r="F302" s="673">
        <f t="shared" si="12"/>
        <v>458231.45454545412</v>
      </c>
      <c r="G302" s="1263">
        <f t="shared" si="14"/>
        <v>93246.389216466312</v>
      </c>
      <c r="H302" s="1266">
        <f t="shared" si="15"/>
        <v>93246.389216466312</v>
      </c>
      <c r="I302" s="724">
        <f t="shared" si="16"/>
        <v>0</v>
      </c>
      <c r="J302" s="724"/>
      <c r="K302" s="869"/>
      <c r="L302" s="729"/>
      <c r="M302" s="869"/>
      <c r="N302" s="729"/>
      <c r="O302" s="729"/>
    </row>
    <row r="303" spans="3:15">
      <c r="C303" s="720">
        <f>IF(D274="","-",+C302+1)</f>
        <v>2036</v>
      </c>
      <c r="D303" s="673">
        <f t="shared" si="13"/>
        <v>458231.45454545412</v>
      </c>
      <c r="E303" s="726">
        <f t="shared" si="17"/>
        <v>21313.090909090908</v>
      </c>
      <c r="F303" s="673">
        <f t="shared" si="12"/>
        <v>436918.36363636324</v>
      </c>
      <c r="G303" s="1263">
        <f t="shared" si="14"/>
        <v>89976.693838858337</v>
      </c>
      <c r="H303" s="1266">
        <f t="shared" si="15"/>
        <v>89976.693838858337</v>
      </c>
      <c r="I303" s="724">
        <f t="shared" si="16"/>
        <v>0</v>
      </c>
      <c r="J303" s="724"/>
      <c r="K303" s="869"/>
      <c r="L303" s="729"/>
      <c r="M303" s="869"/>
      <c r="N303" s="729"/>
      <c r="O303" s="729"/>
    </row>
    <row r="304" spans="3:15">
      <c r="C304" s="720">
        <f>IF(D274="","-",+C303+1)</f>
        <v>2037</v>
      </c>
      <c r="D304" s="673">
        <f t="shared" si="13"/>
        <v>436918.36363636324</v>
      </c>
      <c r="E304" s="726">
        <f t="shared" si="17"/>
        <v>21313.090909090908</v>
      </c>
      <c r="F304" s="673">
        <f t="shared" si="12"/>
        <v>415605.27272727236</v>
      </c>
      <c r="G304" s="1263">
        <f t="shared" si="14"/>
        <v>86706.998461250361</v>
      </c>
      <c r="H304" s="1266">
        <f t="shared" si="15"/>
        <v>86706.998461250361</v>
      </c>
      <c r="I304" s="724">
        <f t="shared" si="16"/>
        <v>0</v>
      </c>
      <c r="J304" s="724"/>
      <c r="K304" s="869"/>
      <c r="L304" s="729"/>
      <c r="M304" s="869"/>
      <c r="N304" s="729"/>
      <c r="O304" s="729"/>
    </row>
    <row r="305" spans="3:15">
      <c r="C305" s="720">
        <f>IF(D274="","-",+C304+1)</f>
        <v>2038</v>
      </c>
      <c r="D305" s="673">
        <f t="shared" si="13"/>
        <v>415605.27272727236</v>
      </c>
      <c r="E305" s="726">
        <f t="shared" si="17"/>
        <v>21313.090909090908</v>
      </c>
      <c r="F305" s="673">
        <f t="shared" si="12"/>
        <v>394292.18181818147</v>
      </c>
      <c r="G305" s="1263">
        <f t="shared" si="14"/>
        <v>83437.3030836424</v>
      </c>
      <c r="H305" s="1266">
        <f t="shared" si="15"/>
        <v>83437.3030836424</v>
      </c>
      <c r="I305" s="724">
        <f t="shared" si="16"/>
        <v>0</v>
      </c>
      <c r="J305" s="724"/>
      <c r="K305" s="869"/>
      <c r="L305" s="729"/>
      <c r="M305" s="869"/>
      <c r="N305" s="729"/>
      <c r="O305" s="729"/>
    </row>
    <row r="306" spans="3:15">
      <c r="C306" s="720">
        <f>IF(D274="","-",+C305+1)</f>
        <v>2039</v>
      </c>
      <c r="D306" s="673">
        <f t="shared" si="13"/>
        <v>394292.18181818147</v>
      </c>
      <c r="E306" s="726">
        <f t="shared" si="17"/>
        <v>21313.090909090908</v>
      </c>
      <c r="F306" s="673">
        <f t="shared" si="12"/>
        <v>372979.09090909059</v>
      </c>
      <c r="G306" s="1263">
        <f t="shared" si="14"/>
        <v>80167.607706034411</v>
      </c>
      <c r="H306" s="1266">
        <f t="shared" si="15"/>
        <v>80167.607706034411</v>
      </c>
      <c r="I306" s="724">
        <f t="shared" si="16"/>
        <v>0</v>
      </c>
      <c r="J306" s="724"/>
      <c r="K306" s="869"/>
      <c r="L306" s="729"/>
      <c r="M306" s="869"/>
      <c r="N306" s="729"/>
      <c r="O306" s="729"/>
    </row>
    <row r="307" spans="3:15">
      <c r="C307" s="720">
        <f>IF(D274="","-",+C306+1)</f>
        <v>2040</v>
      </c>
      <c r="D307" s="673">
        <f t="shared" si="13"/>
        <v>372979.09090909059</v>
      </c>
      <c r="E307" s="726">
        <f t="shared" si="17"/>
        <v>21313.090909090908</v>
      </c>
      <c r="F307" s="673">
        <f t="shared" si="12"/>
        <v>351665.99999999971</v>
      </c>
      <c r="G307" s="1263">
        <f t="shared" si="14"/>
        <v>76897.91232842645</v>
      </c>
      <c r="H307" s="1266">
        <f t="shared" si="15"/>
        <v>76897.91232842645</v>
      </c>
      <c r="I307" s="724">
        <f t="shared" si="16"/>
        <v>0</v>
      </c>
      <c r="J307" s="724"/>
      <c r="K307" s="869"/>
      <c r="L307" s="729"/>
      <c r="M307" s="869"/>
      <c r="N307" s="729"/>
      <c r="O307" s="729"/>
    </row>
    <row r="308" spans="3:15">
      <c r="C308" s="720">
        <f>IF(D274="","-",+C307+1)</f>
        <v>2041</v>
      </c>
      <c r="D308" s="673">
        <f t="shared" si="13"/>
        <v>351665.99999999971</v>
      </c>
      <c r="E308" s="726">
        <f t="shared" si="17"/>
        <v>21313.090909090908</v>
      </c>
      <c r="F308" s="673">
        <f t="shared" si="12"/>
        <v>330352.90909090883</v>
      </c>
      <c r="G308" s="1264">
        <f t="shared" si="14"/>
        <v>73628.216950818474</v>
      </c>
      <c r="H308" s="1266">
        <f t="shared" si="15"/>
        <v>73628.216950818474</v>
      </c>
      <c r="I308" s="724">
        <f t="shared" si="16"/>
        <v>0</v>
      </c>
      <c r="J308" s="724"/>
      <c r="K308" s="869"/>
      <c r="L308" s="729"/>
      <c r="M308" s="869"/>
      <c r="N308" s="729"/>
      <c r="O308" s="729"/>
    </row>
    <row r="309" spans="3:15">
      <c r="C309" s="720">
        <f>IF(D274="","-",+C308+1)</f>
        <v>2042</v>
      </c>
      <c r="D309" s="673">
        <f t="shared" si="13"/>
        <v>330352.90909090883</v>
      </c>
      <c r="E309" s="726">
        <f t="shared" si="17"/>
        <v>21313.090909090908</v>
      </c>
      <c r="F309" s="673">
        <f t="shared" si="12"/>
        <v>309039.81818181794</v>
      </c>
      <c r="G309" s="1263">
        <f t="shared" si="14"/>
        <v>70358.521573210513</v>
      </c>
      <c r="H309" s="1266">
        <f t="shared" si="15"/>
        <v>70358.521573210513</v>
      </c>
      <c r="I309" s="724">
        <f t="shared" si="16"/>
        <v>0</v>
      </c>
      <c r="J309" s="724"/>
      <c r="K309" s="869"/>
      <c r="L309" s="729"/>
      <c r="M309" s="869"/>
      <c r="N309" s="729"/>
      <c r="O309" s="729"/>
    </row>
    <row r="310" spans="3:15">
      <c r="C310" s="720">
        <f>IF(D274="","-",+C309+1)</f>
        <v>2043</v>
      </c>
      <c r="D310" s="673">
        <f t="shared" si="13"/>
        <v>309039.81818181794</v>
      </c>
      <c r="E310" s="726">
        <f t="shared" si="17"/>
        <v>21313.090909090908</v>
      </c>
      <c r="F310" s="673">
        <f t="shared" si="12"/>
        <v>287726.72727272706</v>
      </c>
      <c r="G310" s="1263">
        <f t="shared" si="14"/>
        <v>67088.826195602524</v>
      </c>
      <c r="H310" s="1266">
        <f t="shared" si="15"/>
        <v>67088.826195602524</v>
      </c>
      <c r="I310" s="724">
        <f t="shared" si="16"/>
        <v>0</v>
      </c>
      <c r="J310" s="724"/>
      <c r="K310" s="869"/>
      <c r="L310" s="729"/>
      <c r="M310" s="869"/>
      <c r="N310" s="729"/>
      <c r="O310" s="729"/>
    </row>
    <row r="311" spans="3:15">
      <c r="C311" s="720">
        <f>IF(D274="","-",+C310+1)</f>
        <v>2044</v>
      </c>
      <c r="D311" s="673">
        <f t="shared" si="13"/>
        <v>287726.72727272706</v>
      </c>
      <c r="E311" s="726">
        <f t="shared" si="17"/>
        <v>21313.090909090908</v>
      </c>
      <c r="F311" s="673">
        <f t="shared" si="12"/>
        <v>266413.63636363618</v>
      </c>
      <c r="G311" s="1263">
        <f t="shared" si="14"/>
        <v>63819.130817994563</v>
      </c>
      <c r="H311" s="1266">
        <f t="shared" si="15"/>
        <v>63819.130817994563</v>
      </c>
      <c r="I311" s="724">
        <f t="shared" si="16"/>
        <v>0</v>
      </c>
      <c r="J311" s="724"/>
      <c r="K311" s="869"/>
      <c r="L311" s="729"/>
      <c r="M311" s="869"/>
      <c r="N311" s="729"/>
      <c r="O311" s="729"/>
    </row>
    <row r="312" spans="3:15">
      <c r="C312" s="720">
        <f>IF(D274="","-",+C311+1)</f>
        <v>2045</v>
      </c>
      <c r="D312" s="673">
        <f t="shared" si="13"/>
        <v>266413.63636363618</v>
      </c>
      <c r="E312" s="726">
        <f t="shared" si="17"/>
        <v>21313.090909090908</v>
      </c>
      <c r="F312" s="673">
        <f t="shared" si="12"/>
        <v>245100.54545454527</v>
      </c>
      <c r="G312" s="1263">
        <f t="shared" si="14"/>
        <v>60549.435440386587</v>
      </c>
      <c r="H312" s="1266">
        <f t="shared" si="15"/>
        <v>60549.435440386587</v>
      </c>
      <c r="I312" s="724">
        <f t="shared" si="16"/>
        <v>0</v>
      </c>
      <c r="J312" s="724"/>
      <c r="K312" s="869"/>
      <c r="L312" s="729"/>
      <c r="M312" s="869"/>
      <c r="N312" s="729"/>
      <c r="O312" s="729"/>
    </row>
    <row r="313" spans="3:15">
      <c r="C313" s="720">
        <f>IF(D274="","-",+C312+1)</f>
        <v>2046</v>
      </c>
      <c r="D313" s="673">
        <f t="shared" si="13"/>
        <v>245100.54545454527</v>
      </c>
      <c r="E313" s="726">
        <f t="shared" si="17"/>
        <v>21313.090909090908</v>
      </c>
      <c r="F313" s="673">
        <f t="shared" si="12"/>
        <v>223787.45454545435</v>
      </c>
      <c r="G313" s="1263">
        <f t="shared" si="14"/>
        <v>57279.740062778612</v>
      </c>
      <c r="H313" s="1266">
        <f t="shared" si="15"/>
        <v>57279.740062778612</v>
      </c>
      <c r="I313" s="724">
        <f t="shared" si="16"/>
        <v>0</v>
      </c>
      <c r="J313" s="724"/>
      <c r="K313" s="869"/>
      <c r="L313" s="729"/>
      <c r="M313" s="869"/>
      <c r="N313" s="729"/>
      <c r="O313" s="729"/>
    </row>
    <row r="314" spans="3:15">
      <c r="C314" s="720">
        <f>IF(D274="","-",+C313+1)</f>
        <v>2047</v>
      </c>
      <c r="D314" s="673">
        <f t="shared" si="13"/>
        <v>223787.45454545435</v>
      </c>
      <c r="E314" s="726">
        <f t="shared" si="17"/>
        <v>21313.090909090908</v>
      </c>
      <c r="F314" s="673">
        <f t="shared" si="12"/>
        <v>202474.36363636344</v>
      </c>
      <c r="G314" s="1263">
        <f t="shared" si="14"/>
        <v>54010.044685170637</v>
      </c>
      <c r="H314" s="1266">
        <f t="shared" si="15"/>
        <v>54010.044685170637</v>
      </c>
      <c r="I314" s="724">
        <f t="shared" si="16"/>
        <v>0</v>
      </c>
      <c r="J314" s="724"/>
      <c r="K314" s="869"/>
      <c r="L314" s="729"/>
      <c r="M314" s="869"/>
      <c r="N314" s="729"/>
      <c r="O314" s="729"/>
    </row>
    <row r="315" spans="3:15">
      <c r="C315" s="720">
        <f>IF(D274="","-",+C314+1)</f>
        <v>2048</v>
      </c>
      <c r="D315" s="673">
        <f t="shared" si="13"/>
        <v>202474.36363636344</v>
      </c>
      <c r="E315" s="726">
        <f t="shared" si="17"/>
        <v>21313.090909090908</v>
      </c>
      <c r="F315" s="673">
        <f t="shared" si="12"/>
        <v>181161.27272727253</v>
      </c>
      <c r="G315" s="1263">
        <f t="shared" si="14"/>
        <v>50740.349307562661</v>
      </c>
      <c r="H315" s="1266">
        <f t="shared" si="15"/>
        <v>50740.349307562661</v>
      </c>
      <c r="I315" s="724">
        <f t="shared" si="16"/>
        <v>0</v>
      </c>
      <c r="J315" s="724"/>
      <c r="K315" s="869"/>
      <c r="L315" s="729"/>
      <c r="M315" s="869"/>
      <c r="N315" s="729"/>
      <c r="O315" s="729"/>
    </row>
    <row r="316" spans="3:15">
      <c r="C316" s="720">
        <f>IF(D274="","-",+C315+1)</f>
        <v>2049</v>
      </c>
      <c r="D316" s="673">
        <f t="shared" si="13"/>
        <v>181161.27272727253</v>
      </c>
      <c r="E316" s="726">
        <f t="shared" si="17"/>
        <v>21313.090909090908</v>
      </c>
      <c r="F316" s="673">
        <f t="shared" si="12"/>
        <v>159848.18181818162</v>
      </c>
      <c r="G316" s="1263">
        <f t="shared" si="14"/>
        <v>47470.653929954686</v>
      </c>
      <c r="H316" s="1266">
        <f t="shared" si="15"/>
        <v>47470.653929954686</v>
      </c>
      <c r="I316" s="724">
        <f t="shared" si="16"/>
        <v>0</v>
      </c>
      <c r="J316" s="724"/>
      <c r="K316" s="869"/>
      <c r="L316" s="729"/>
      <c r="M316" s="869"/>
      <c r="N316" s="729"/>
      <c r="O316" s="729"/>
    </row>
    <row r="317" spans="3:15">
      <c r="C317" s="720">
        <f>IF(D274="","-",+C316+1)</f>
        <v>2050</v>
      </c>
      <c r="D317" s="673">
        <f t="shared" si="13"/>
        <v>159848.18181818162</v>
      </c>
      <c r="E317" s="726">
        <f t="shared" si="17"/>
        <v>21313.090909090908</v>
      </c>
      <c r="F317" s="673">
        <f t="shared" si="12"/>
        <v>138535.09090909071</v>
      </c>
      <c r="G317" s="1263">
        <f t="shared" si="14"/>
        <v>44200.95855234671</v>
      </c>
      <c r="H317" s="1266">
        <f t="shared" si="15"/>
        <v>44200.95855234671</v>
      </c>
      <c r="I317" s="724">
        <f t="shared" si="16"/>
        <v>0</v>
      </c>
      <c r="J317" s="724"/>
      <c r="K317" s="869"/>
      <c r="L317" s="729"/>
      <c r="M317" s="869"/>
      <c r="N317" s="729"/>
      <c r="O317" s="729"/>
    </row>
    <row r="318" spans="3:15">
      <c r="C318" s="720">
        <f>IF(D274="","-",+C317+1)</f>
        <v>2051</v>
      </c>
      <c r="D318" s="673">
        <f t="shared" si="13"/>
        <v>138535.09090909071</v>
      </c>
      <c r="E318" s="726">
        <f t="shared" si="17"/>
        <v>21313.090909090908</v>
      </c>
      <c r="F318" s="673">
        <f t="shared" si="12"/>
        <v>117221.9999999998</v>
      </c>
      <c r="G318" s="1263">
        <f t="shared" si="14"/>
        <v>40931.263174738735</v>
      </c>
      <c r="H318" s="1266">
        <f t="shared" si="15"/>
        <v>40931.263174738735</v>
      </c>
      <c r="I318" s="724">
        <f t="shared" si="16"/>
        <v>0</v>
      </c>
      <c r="J318" s="724"/>
      <c r="K318" s="869"/>
      <c r="L318" s="729"/>
      <c r="M318" s="869"/>
      <c r="N318" s="729"/>
      <c r="O318" s="729"/>
    </row>
    <row r="319" spans="3:15">
      <c r="C319" s="720">
        <f>IF(D274="","-",+C318+1)</f>
        <v>2052</v>
      </c>
      <c r="D319" s="673">
        <f t="shared" si="13"/>
        <v>117221.9999999998</v>
      </c>
      <c r="E319" s="726">
        <f t="shared" si="17"/>
        <v>21313.090909090908</v>
      </c>
      <c r="F319" s="673">
        <f t="shared" si="12"/>
        <v>95908.909090908885</v>
      </c>
      <c r="G319" s="1263">
        <f t="shared" si="14"/>
        <v>37661.56779713076</v>
      </c>
      <c r="H319" s="1266">
        <f t="shared" si="15"/>
        <v>37661.56779713076</v>
      </c>
      <c r="I319" s="724">
        <f t="shared" si="16"/>
        <v>0</v>
      </c>
      <c r="J319" s="724"/>
      <c r="K319" s="869"/>
      <c r="L319" s="729"/>
      <c r="M319" s="869"/>
      <c r="N319" s="729"/>
      <c r="O319" s="729"/>
    </row>
    <row r="320" spans="3:15">
      <c r="C320" s="720">
        <f>IF(D274="","-",+C319+1)</f>
        <v>2053</v>
      </c>
      <c r="D320" s="673">
        <f t="shared" si="13"/>
        <v>95908.909090908885</v>
      </c>
      <c r="E320" s="726">
        <f t="shared" si="17"/>
        <v>21313.090909090908</v>
      </c>
      <c r="F320" s="673">
        <f t="shared" si="12"/>
        <v>74595.818181817973</v>
      </c>
      <c r="G320" s="1263">
        <f t="shared" si="14"/>
        <v>34391.872419522777</v>
      </c>
      <c r="H320" s="1266">
        <f t="shared" si="15"/>
        <v>34391.872419522777</v>
      </c>
      <c r="I320" s="724">
        <f t="shared" si="16"/>
        <v>0</v>
      </c>
      <c r="J320" s="724"/>
      <c r="K320" s="869"/>
      <c r="L320" s="729"/>
      <c r="M320" s="869"/>
      <c r="N320" s="729"/>
      <c r="O320" s="729"/>
    </row>
    <row r="321" spans="3:15">
      <c r="C321" s="720">
        <f>IF(D274="","-",+C320+1)</f>
        <v>2054</v>
      </c>
      <c r="D321" s="673">
        <f t="shared" si="13"/>
        <v>74595.818181817973</v>
      </c>
      <c r="E321" s="726">
        <f t="shared" si="17"/>
        <v>21313.090909090908</v>
      </c>
      <c r="F321" s="673">
        <f t="shared" si="12"/>
        <v>53282.727272727061</v>
      </c>
      <c r="G321" s="1263">
        <f t="shared" si="14"/>
        <v>31122.177041914802</v>
      </c>
      <c r="H321" s="1266">
        <f t="shared" si="15"/>
        <v>31122.177041914802</v>
      </c>
      <c r="I321" s="724">
        <f t="shared" si="16"/>
        <v>0</v>
      </c>
      <c r="J321" s="724"/>
      <c r="K321" s="869"/>
      <c r="L321" s="729"/>
      <c r="M321" s="869"/>
      <c r="N321" s="729"/>
      <c r="O321" s="729"/>
    </row>
    <row r="322" spans="3:15">
      <c r="C322" s="720">
        <f>IF(D274="","-",+C321+1)</f>
        <v>2055</v>
      </c>
      <c r="D322" s="673">
        <f t="shared" si="13"/>
        <v>53282.727272727061</v>
      </c>
      <c r="E322" s="726">
        <f t="shared" si="17"/>
        <v>21313.090909090908</v>
      </c>
      <c r="F322" s="673">
        <f t="shared" si="12"/>
        <v>31969.636363636153</v>
      </c>
      <c r="G322" s="1263">
        <f t="shared" si="14"/>
        <v>27852.481664306826</v>
      </c>
      <c r="H322" s="1266">
        <f t="shared" si="15"/>
        <v>27852.481664306826</v>
      </c>
      <c r="I322" s="724">
        <f t="shared" si="16"/>
        <v>0</v>
      </c>
      <c r="J322" s="724"/>
      <c r="K322" s="869"/>
      <c r="L322" s="729"/>
      <c r="M322" s="869"/>
      <c r="N322" s="729"/>
      <c r="O322" s="729"/>
    </row>
    <row r="323" spans="3:15">
      <c r="C323" s="720">
        <f>IF(D274="","-",+C322+1)</f>
        <v>2056</v>
      </c>
      <c r="D323" s="673">
        <f t="shared" si="13"/>
        <v>31969.636363636153</v>
      </c>
      <c r="E323" s="726">
        <f t="shared" si="17"/>
        <v>21313.090909090908</v>
      </c>
      <c r="F323" s="673">
        <f t="shared" si="12"/>
        <v>10656.545454545245</v>
      </c>
      <c r="G323" s="1263">
        <f t="shared" si="14"/>
        <v>24582.786286698851</v>
      </c>
      <c r="H323" s="1266">
        <f t="shared" si="15"/>
        <v>24582.786286698851</v>
      </c>
      <c r="I323" s="724">
        <f t="shared" si="16"/>
        <v>0</v>
      </c>
      <c r="J323" s="724"/>
      <c r="K323" s="869"/>
      <c r="L323" s="729"/>
      <c r="M323" s="869"/>
      <c r="N323" s="729"/>
      <c r="O323" s="729"/>
    </row>
    <row r="324" spans="3:15">
      <c r="C324" s="720">
        <f>IF(D274="","-",+C323+1)</f>
        <v>2057</v>
      </c>
      <c r="D324" s="673">
        <f t="shared" si="13"/>
        <v>10656.545454545245</v>
      </c>
      <c r="E324" s="726">
        <f t="shared" si="17"/>
        <v>10656.545454545245</v>
      </c>
      <c r="F324" s="673">
        <f t="shared" si="12"/>
        <v>0</v>
      </c>
      <c r="G324" s="1263">
        <f t="shared" si="14"/>
        <v>11473.969298947222</v>
      </c>
      <c r="H324" s="1266">
        <f t="shared" si="15"/>
        <v>11473.969298947222</v>
      </c>
      <c r="I324" s="724">
        <f t="shared" si="16"/>
        <v>0</v>
      </c>
      <c r="J324" s="724"/>
      <c r="K324" s="869"/>
      <c r="L324" s="729"/>
      <c r="M324" s="869"/>
      <c r="N324" s="729"/>
      <c r="O324" s="729"/>
    </row>
    <row r="325" spans="3:15">
      <c r="C325" s="720">
        <f>IF(D274="","-",+C324+1)</f>
        <v>2058</v>
      </c>
      <c r="D325" s="673">
        <f t="shared" si="13"/>
        <v>0</v>
      </c>
      <c r="E325" s="726">
        <f t="shared" si="17"/>
        <v>0</v>
      </c>
      <c r="F325" s="673">
        <f t="shared" si="12"/>
        <v>0</v>
      </c>
      <c r="G325" s="1263">
        <f t="shared" si="14"/>
        <v>0</v>
      </c>
      <c r="H325" s="1266">
        <f t="shared" si="15"/>
        <v>0</v>
      </c>
      <c r="I325" s="724">
        <f t="shared" si="16"/>
        <v>0</v>
      </c>
      <c r="J325" s="724"/>
      <c r="K325" s="869"/>
      <c r="L325" s="729"/>
      <c r="M325" s="869"/>
      <c r="N325" s="729"/>
      <c r="O325" s="729"/>
    </row>
    <row r="326" spans="3:15">
      <c r="C326" s="720">
        <f>IF(D274="","-",+C325+1)</f>
        <v>2059</v>
      </c>
      <c r="D326" s="673">
        <f t="shared" si="13"/>
        <v>0</v>
      </c>
      <c r="E326" s="726">
        <f t="shared" si="17"/>
        <v>0</v>
      </c>
      <c r="F326" s="673">
        <f t="shared" si="12"/>
        <v>0</v>
      </c>
      <c r="G326" s="1263">
        <f t="shared" si="14"/>
        <v>0</v>
      </c>
      <c r="H326" s="1266">
        <f t="shared" si="15"/>
        <v>0</v>
      </c>
      <c r="I326" s="724">
        <f t="shared" si="16"/>
        <v>0</v>
      </c>
      <c r="J326" s="724"/>
      <c r="K326" s="869"/>
      <c r="L326" s="729"/>
      <c r="M326" s="869"/>
      <c r="N326" s="729"/>
      <c r="O326" s="729"/>
    </row>
    <row r="327" spans="3:15">
      <c r="C327" s="720">
        <f>IF(D274="","-",+C326+1)</f>
        <v>2060</v>
      </c>
      <c r="D327" s="673">
        <f t="shared" si="13"/>
        <v>0</v>
      </c>
      <c r="E327" s="726">
        <f t="shared" si="17"/>
        <v>0</v>
      </c>
      <c r="F327" s="673">
        <f t="shared" si="12"/>
        <v>0</v>
      </c>
      <c r="G327" s="1263">
        <f t="shared" si="14"/>
        <v>0</v>
      </c>
      <c r="H327" s="1266">
        <f t="shared" si="15"/>
        <v>0</v>
      </c>
      <c r="I327" s="724">
        <f t="shared" si="16"/>
        <v>0</v>
      </c>
      <c r="J327" s="724"/>
      <c r="K327" s="869"/>
      <c r="L327" s="729"/>
      <c r="M327" s="869"/>
      <c r="N327" s="729"/>
      <c r="O327" s="729"/>
    </row>
    <row r="328" spans="3:15">
      <c r="C328" s="720">
        <f>IF(D274="","-",+C327+1)</f>
        <v>2061</v>
      </c>
      <c r="D328" s="673">
        <f t="shared" si="13"/>
        <v>0</v>
      </c>
      <c r="E328" s="726">
        <f t="shared" si="17"/>
        <v>0</v>
      </c>
      <c r="F328" s="673">
        <f t="shared" si="12"/>
        <v>0</v>
      </c>
      <c r="G328" s="1263">
        <f t="shared" si="14"/>
        <v>0</v>
      </c>
      <c r="H328" s="1266">
        <f t="shared" si="15"/>
        <v>0</v>
      </c>
      <c r="I328" s="724">
        <f t="shared" si="16"/>
        <v>0</v>
      </c>
      <c r="J328" s="724"/>
      <c r="K328" s="869"/>
      <c r="L328" s="729"/>
      <c r="M328" s="869"/>
      <c r="N328" s="729"/>
      <c r="O328" s="729"/>
    </row>
    <row r="329" spans="3:15">
      <c r="C329" s="720">
        <f>IF(D274="","-",+C328+1)</f>
        <v>2062</v>
      </c>
      <c r="D329" s="673">
        <f t="shared" si="13"/>
        <v>0</v>
      </c>
      <c r="E329" s="726">
        <f t="shared" si="17"/>
        <v>0</v>
      </c>
      <c r="F329" s="673">
        <f t="shared" si="12"/>
        <v>0</v>
      </c>
      <c r="G329" s="1263">
        <f t="shared" si="14"/>
        <v>0</v>
      </c>
      <c r="H329" s="1266">
        <f t="shared" si="15"/>
        <v>0</v>
      </c>
      <c r="I329" s="724">
        <f t="shared" si="16"/>
        <v>0</v>
      </c>
      <c r="J329" s="724"/>
      <c r="K329" s="869"/>
      <c r="L329" s="729"/>
      <c r="M329" s="869"/>
      <c r="N329" s="729"/>
      <c r="O329" s="729"/>
    </row>
    <row r="330" spans="3:15">
      <c r="C330" s="720">
        <f>IF(D274="","-",+C329+1)</f>
        <v>2063</v>
      </c>
      <c r="D330" s="673">
        <f t="shared" si="13"/>
        <v>0</v>
      </c>
      <c r="E330" s="726">
        <f t="shared" si="17"/>
        <v>0</v>
      </c>
      <c r="F330" s="673">
        <f t="shared" si="12"/>
        <v>0</v>
      </c>
      <c r="G330" s="1263">
        <f t="shared" si="14"/>
        <v>0</v>
      </c>
      <c r="H330" s="1266">
        <f t="shared" si="15"/>
        <v>0</v>
      </c>
      <c r="I330" s="724">
        <f t="shared" si="16"/>
        <v>0</v>
      </c>
      <c r="J330" s="724"/>
      <c r="K330" s="869"/>
      <c r="L330" s="729"/>
      <c r="M330" s="869"/>
      <c r="N330" s="729"/>
      <c r="O330" s="729"/>
    </row>
    <row r="331" spans="3:15">
      <c r="C331" s="720">
        <f>IF(D274="","-",+C330+1)</f>
        <v>2064</v>
      </c>
      <c r="D331" s="673">
        <f t="shared" si="13"/>
        <v>0</v>
      </c>
      <c r="E331" s="726">
        <f t="shared" si="17"/>
        <v>0</v>
      </c>
      <c r="F331" s="673">
        <f t="shared" si="12"/>
        <v>0</v>
      </c>
      <c r="G331" s="1263">
        <f t="shared" si="14"/>
        <v>0</v>
      </c>
      <c r="H331" s="1266">
        <f t="shared" si="15"/>
        <v>0</v>
      </c>
      <c r="I331" s="724">
        <f t="shared" si="16"/>
        <v>0</v>
      </c>
      <c r="J331" s="724"/>
      <c r="K331" s="869"/>
      <c r="L331" s="729"/>
      <c r="M331" s="869"/>
      <c r="N331" s="729"/>
      <c r="O331" s="729"/>
    </row>
    <row r="332" spans="3:15">
      <c r="C332" s="720">
        <f>IF(D274="","-",+C331+1)</f>
        <v>2065</v>
      </c>
      <c r="D332" s="673">
        <f t="shared" si="13"/>
        <v>0</v>
      </c>
      <c r="E332" s="726">
        <f t="shared" si="17"/>
        <v>0</v>
      </c>
      <c r="F332" s="673">
        <f t="shared" si="12"/>
        <v>0</v>
      </c>
      <c r="G332" s="1263">
        <f t="shared" si="14"/>
        <v>0</v>
      </c>
      <c r="H332" s="1266">
        <f t="shared" si="15"/>
        <v>0</v>
      </c>
      <c r="I332" s="724">
        <f t="shared" si="16"/>
        <v>0</v>
      </c>
      <c r="J332" s="724"/>
      <c r="K332" s="869"/>
      <c r="L332" s="729"/>
      <c r="M332" s="869"/>
      <c r="N332" s="729"/>
      <c r="O332" s="729"/>
    </row>
    <row r="333" spans="3:15">
      <c r="C333" s="720">
        <f>IF(D274="","-",+C332+1)</f>
        <v>2066</v>
      </c>
      <c r="D333" s="673">
        <f t="shared" si="13"/>
        <v>0</v>
      </c>
      <c r="E333" s="726">
        <f t="shared" si="17"/>
        <v>0</v>
      </c>
      <c r="F333" s="673">
        <f t="shared" si="12"/>
        <v>0</v>
      </c>
      <c r="G333" s="1263">
        <f t="shared" si="14"/>
        <v>0</v>
      </c>
      <c r="H333" s="1266">
        <f t="shared" si="15"/>
        <v>0</v>
      </c>
      <c r="I333" s="724">
        <f t="shared" si="16"/>
        <v>0</v>
      </c>
      <c r="J333" s="724"/>
      <c r="K333" s="869"/>
      <c r="L333" s="729"/>
      <c r="M333" s="869"/>
      <c r="N333" s="729"/>
      <c r="O333" s="729"/>
    </row>
    <row r="334" spans="3:15">
      <c r="C334" s="720">
        <f>IF(D274="","-",+C333+1)</f>
        <v>2067</v>
      </c>
      <c r="D334" s="673">
        <f t="shared" si="13"/>
        <v>0</v>
      </c>
      <c r="E334" s="726">
        <f t="shared" si="17"/>
        <v>0</v>
      </c>
      <c r="F334" s="673">
        <f t="shared" si="12"/>
        <v>0</v>
      </c>
      <c r="G334" s="1263">
        <f t="shared" si="14"/>
        <v>0</v>
      </c>
      <c r="H334" s="1266">
        <f t="shared" si="15"/>
        <v>0</v>
      </c>
      <c r="I334" s="724">
        <f t="shared" si="16"/>
        <v>0</v>
      </c>
      <c r="J334" s="724"/>
      <c r="K334" s="869"/>
      <c r="L334" s="729"/>
      <c r="M334" s="869"/>
      <c r="N334" s="729"/>
      <c r="O334" s="729"/>
    </row>
    <row r="335" spans="3:15">
      <c r="C335" s="720">
        <f>IF(D274="","-",+C334+1)</f>
        <v>2068</v>
      </c>
      <c r="D335" s="673">
        <f t="shared" si="13"/>
        <v>0</v>
      </c>
      <c r="E335" s="726">
        <f t="shared" si="17"/>
        <v>0</v>
      </c>
      <c r="F335" s="673">
        <f t="shared" si="12"/>
        <v>0</v>
      </c>
      <c r="G335" s="1263">
        <f t="shared" si="14"/>
        <v>0</v>
      </c>
      <c r="H335" s="1266">
        <f t="shared" si="15"/>
        <v>0</v>
      </c>
      <c r="I335" s="724">
        <f t="shared" si="16"/>
        <v>0</v>
      </c>
      <c r="J335" s="724"/>
      <c r="K335" s="869"/>
      <c r="L335" s="729"/>
      <c r="M335" s="869"/>
      <c r="N335" s="729"/>
      <c r="O335" s="729"/>
    </row>
    <row r="336" spans="3:15">
      <c r="C336" s="720">
        <f>IF(D274="","-",+C335+1)</f>
        <v>2069</v>
      </c>
      <c r="D336" s="673">
        <f t="shared" si="13"/>
        <v>0</v>
      </c>
      <c r="E336" s="726">
        <f t="shared" si="17"/>
        <v>0</v>
      </c>
      <c r="F336" s="673">
        <f t="shared" si="12"/>
        <v>0</v>
      </c>
      <c r="G336" s="1263">
        <f t="shared" si="14"/>
        <v>0</v>
      </c>
      <c r="H336" s="1266">
        <f t="shared" si="15"/>
        <v>0</v>
      </c>
      <c r="I336" s="724">
        <f t="shared" si="16"/>
        <v>0</v>
      </c>
      <c r="J336" s="724"/>
      <c r="K336" s="869"/>
      <c r="L336" s="729"/>
      <c r="M336" s="869"/>
      <c r="N336" s="729"/>
      <c r="O336" s="729"/>
    </row>
    <row r="337" spans="1:16">
      <c r="C337" s="720">
        <f>IF(D274="","-",+C336+1)</f>
        <v>2070</v>
      </c>
      <c r="D337" s="673">
        <f t="shared" si="13"/>
        <v>0</v>
      </c>
      <c r="E337" s="726">
        <f t="shared" si="17"/>
        <v>0</v>
      </c>
      <c r="F337" s="673">
        <f t="shared" si="12"/>
        <v>0</v>
      </c>
      <c r="G337" s="1263">
        <f t="shared" si="14"/>
        <v>0</v>
      </c>
      <c r="H337" s="1266">
        <f t="shared" si="15"/>
        <v>0</v>
      </c>
      <c r="I337" s="724">
        <f t="shared" si="16"/>
        <v>0</v>
      </c>
      <c r="J337" s="724"/>
      <c r="K337" s="869"/>
      <c r="L337" s="729"/>
      <c r="M337" s="869"/>
      <c r="N337" s="729"/>
      <c r="O337" s="729"/>
    </row>
    <row r="338" spans="1:16">
      <c r="C338" s="720">
        <f>IF(D274="","-",+C337+1)</f>
        <v>2071</v>
      </c>
      <c r="D338" s="673">
        <f t="shared" si="13"/>
        <v>0</v>
      </c>
      <c r="E338" s="726">
        <f t="shared" si="17"/>
        <v>0</v>
      </c>
      <c r="F338" s="673">
        <f t="shared" si="12"/>
        <v>0</v>
      </c>
      <c r="G338" s="1263">
        <f t="shared" si="14"/>
        <v>0</v>
      </c>
      <c r="H338" s="1266">
        <f t="shared" si="15"/>
        <v>0</v>
      </c>
      <c r="I338" s="724">
        <f t="shared" si="16"/>
        <v>0</v>
      </c>
      <c r="J338" s="724"/>
      <c r="K338" s="869"/>
      <c r="L338" s="729"/>
      <c r="M338" s="869"/>
      <c r="N338" s="729"/>
      <c r="O338" s="729"/>
    </row>
    <row r="339" spans="1:16" ht="13.5" thickBot="1">
      <c r="C339" s="730">
        <f>IF(D274="","-",+C338+1)</f>
        <v>2072</v>
      </c>
      <c r="D339" s="731">
        <f t="shared" si="13"/>
        <v>0</v>
      </c>
      <c r="E339" s="732">
        <f t="shared" si="17"/>
        <v>0</v>
      </c>
      <c r="F339" s="731">
        <f t="shared" si="12"/>
        <v>0</v>
      </c>
      <c r="G339" s="1274">
        <f t="shared" si="14"/>
        <v>0</v>
      </c>
      <c r="H339" s="1274">
        <f t="shared" si="15"/>
        <v>0</v>
      </c>
      <c r="I339" s="734">
        <f t="shared" si="16"/>
        <v>0</v>
      </c>
      <c r="J339" s="724"/>
      <c r="K339" s="870"/>
      <c r="L339" s="736"/>
      <c r="M339" s="870"/>
      <c r="N339" s="736"/>
      <c r="O339" s="736"/>
    </row>
    <row r="340" spans="1:16">
      <c r="C340" s="673" t="s">
        <v>288</v>
      </c>
      <c r="D340" s="1242"/>
      <c r="E340" s="673"/>
      <c r="F340" s="1242"/>
      <c r="G340" s="1242">
        <f>SUM(G280:G339)</f>
        <v>4174774.4238318936</v>
      </c>
      <c r="H340" s="1242">
        <f>SUM(H280:H339)</f>
        <v>4174774.4238318936</v>
      </c>
      <c r="I340" s="1242">
        <f>SUM(I280:I339)</f>
        <v>0</v>
      </c>
      <c r="J340" s="1242"/>
      <c r="K340" s="1242"/>
      <c r="L340" s="1242"/>
      <c r="M340" s="1242"/>
      <c r="N340" s="1242"/>
      <c r="O340" s="542"/>
    </row>
    <row r="341" spans="1:16">
      <c r="D341" s="563"/>
      <c r="E341" s="542"/>
      <c r="F341" s="542"/>
      <c r="G341" s="542"/>
      <c r="H341" s="1241"/>
      <c r="I341" s="1241"/>
      <c r="J341" s="1242"/>
      <c r="K341" s="1241"/>
      <c r="L341" s="1241"/>
      <c r="M341" s="1241"/>
      <c r="N341" s="1241"/>
      <c r="O341" s="542"/>
    </row>
    <row r="342" spans="1:16">
      <c r="C342" s="542" t="s">
        <v>595</v>
      </c>
      <c r="D342" s="563"/>
      <c r="E342" s="542"/>
      <c r="F342" s="542"/>
      <c r="G342" s="542"/>
      <c r="H342" s="1241"/>
      <c r="I342" s="1241"/>
      <c r="J342" s="1242"/>
      <c r="K342" s="1241"/>
      <c r="L342" s="1241"/>
      <c r="M342" s="1241"/>
      <c r="N342" s="1241"/>
      <c r="O342" s="542"/>
    </row>
    <row r="343" spans="1:16">
      <c r="C343" s="542"/>
      <c r="D343" s="563"/>
      <c r="E343" s="542"/>
      <c r="F343" s="542"/>
      <c r="G343" s="542"/>
      <c r="H343" s="1241"/>
      <c r="I343" s="1241"/>
      <c r="J343" s="1242"/>
      <c r="K343" s="1241"/>
      <c r="L343" s="1241"/>
      <c r="M343" s="1241"/>
      <c r="N343" s="1241"/>
      <c r="O343" s="542"/>
    </row>
    <row r="344" spans="1:16">
      <c r="C344" s="684" t="s">
        <v>934</v>
      </c>
      <c r="D344" s="673"/>
      <c r="E344" s="673"/>
      <c r="F344" s="673"/>
      <c r="G344" s="1242"/>
      <c r="H344" s="1242"/>
      <c r="I344" s="674"/>
      <c r="J344" s="674"/>
      <c r="K344" s="674"/>
      <c r="L344" s="674"/>
      <c r="M344" s="674"/>
      <c r="N344" s="674"/>
      <c r="O344" s="542"/>
    </row>
    <row r="345" spans="1:16">
      <c r="C345" s="684" t="s">
        <v>476</v>
      </c>
      <c r="D345" s="673"/>
      <c r="E345" s="673"/>
      <c r="F345" s="673"/>
      <c r="G345" s="1242"/>
      <c r="H345" s="1242"/>
      <c r="I345" s="674"/>
      <c r="J345" s="674"/>
      <c r="K345" s="674"/>
      <c r="L345" s="674"/>
      <c r="M345" s="674"/>
      <c r="N345" s="674"/>
      <c r="O345" s="542"/>
    </row>
    <row r="346" spans="1:16">
      <c r="C346" s="672" t="s">
        <v>289</v>
      </c>
      <c r="D346" s="673"/>
      <c r="E346" s="673"/>
      <c r="F346" s="673"/>
      <c r="G346" s="1242"/>
      <c r="H346" s="1242"/>
      <c r="I346" s="674"/>
      <c r="J346" s="674"/>
      <c r="K346" s="674"/>
      <c r="L346" s="674"/>
      <c r="M346" s="674"/>
      <c r="N346" s="674"/>
      <c r="O346" s="542"/>
    </row>
    <row r="347" spans="1:16">
      <c r="C347" s="672"/>
      <c r="D347" s="673"/>
      <c r="E347" s="673"/>
      <c r="F347" s="673"/>
      <c r="G347" s="1242"/>
      <c r="H347" s="1242"/>
      <c r="I347" s="674"/>
      <c r="J347" s="674"/>
      <c r="K347" s="674"/>
      <c r="L347" s="674"/>
      <c r="M347" s="674"/>
      <c r="N347" s="674"/>
      <c r="O347" s="542"/>
    </row>
    <row r="348" spans="1:16">
      <c r="C348" s="1701" t="s">
        <v>460</v>
      </c>
      <c r="D348" s="1701"/>
      <c r="E348" s="1701"/>
      <c r="F348" s="1701"/>
      <c r="G348" s="1701"/>
      <c r="H348" s="1701"/>
      <c r="I348" s="1701"/>
      <c r="J348" s="1701"/>
      <c r="K348" s="1701"/>
      <c r="L348" s="1701"/>
      <c r="M348" s="1701"/>
      <c r="N348" s="1701"/>
      <c r="O348" s="1701"/>
    </row>
    <row r="349" spans="1:16">
      <c r="C349" s="1701"/>
      <c r="D349" s="1701"/>
      <c r="E349" s="1701"/>
      <c r="F349" s="1701"/>
      <c r="G349" s="1701"/>
      <c r="H349" s="1701"/>
      <c r="I349" s="1701"/>
      <c r="J349" s="1701"/>
      <c r="K349" s="1701"/>
      <c r="L349" s="1701"/>
      <c r="M349" s="1701"/>
      <c r="N349" s="1701"/>
      <c r="O349" s="1701"/>
    </row>
    <row r="350" spans="1:16">
      <c r="H350" s="1275"/>
    </row>
    <row r="351" spans="1:16" ht="20.25">
      <c r="A351" s="675" t="s">
        <v>931</v>
      </c>
      <c r="B351" s="576"/>
      <c r="C351" s="655"/>
      <c r="D351" s="563"/>
      <c r="E351" s="542"/>
      <c r="F351" s="645"/>
      <c r="G351" s="542"/>
      <c r="H351" s="1241"/>
      <c r="K351" s="676"/>
      <c r="L351" s="676"/>
      <c r="M351" s="676"/>
      <c r="N351" s="591" t="str">
        <f>"Page "&amp;SUM(P$6:P351)&amp;" of "</f>
        <v xml:space="preserve">Page 4 of </v>
      </c>
      <c r="O351" s="592">
        <f>COUNT(P$6:P$59579)</f>
        <v>22</v>
      </c>
      <c r="P351" s="542">
        <v>1</v>
      </c>
    </row>
    <row r="352" spans="1:16">
      <c r="B352" s="576"/>
      <c r="C352" s="542"/>
      <c r="D352" s="563"/>
      <c r="E352" s="542"/>
      <c r="F352" s="542"/>
      <c r="G352" s="542"/>
      <c r="H352" s="1241"/>
      <c r="I352" s="542"/>
      <c r="J352" s="588"/>
      <c r="K352" s="542"/>
      <c r="L352" s="542"/>
      <c r="M352" s="542"/>
      <c r="N352" s="542"/>
      <c r="O352" s="542"/>
    </row>
    <row r="353" spans="1:15" ht="18">
      <c r="B353" s="595" t="s">
        <v>174</v>
      </c>
      <c r="C353" s="677" t="s">
        <v>290</v>
      </c>
      <c r="D353" s="563"/>
      <c r="E353" s="542"/>
      <c r="F353" s="542"/>
      <c r="G353" s="542"/>
      <c r="H353" s="1241"/>
      <c r="I353" s="1241"/>
      <c r="J353" s="1242"/>
      <c r="K353" s="1241"/>
      <c r="L353" s="1241"/>
      <c r="M353" s="1241"/>
      <c r="N353" s="1241"/>
      <c r="O353" s="542"/>
    </row>
    <row r="354" spans="1:15" ht="18.75">
      <c r="B354" s="595"/>
      <c r="C354" s="594"/>
      <c r="D354" s="563"/>
      <c r="E354" s="542"/>
      <c r="F354" s="542"/>
      <c r="G354" s="542"/>
      <c r="H354" s="1241"/>
      <c r="I354" s="1241"/>
      <c r="J354" s="1242"/>
      <c r="K354" s="1241"/>
      <c r="L354" s="1241"/>
      <c r="M354" s="1241"/>
      <c r="N354" s="1241"/>
      <c r="O354" s="542"/>
    </row>
    <row r="355" spans="1:15" ht="18.75">
      <c r="B355" s="595"/>
      <c r="C355" s="594" t="s">
        <v>291</v>
      </c>
      <c r="D355" s="563"/>
      <c r="E355" s="542"/>
      <c r="F355" s="542"/>
      <c r="G355" s="542"/>
      <c r="H355" s="1241"/>
      <c r="I355" s="1241"/>
      <c r="J355" s="1242"/>
      <c r="K355" s="1241"/>
      <c r="L355" s="1241"/>
      <c r="M355" s="1241"/>
      <c r="N355" s="1241"/>
      <c r="O355" s="542"/>
    </row>
    <row r="356" spans="1:15" ht="15.75" thickBot="1">
      <c r="C356" s="396"/>
      <c r="D356" s="563"/>
      <c r="E356" s="542"/>
      <c r="F356" s="542"/>
      <c r="G356" s="542"/>
      <c r="H356" s="1241"/>
      <c r="I356" s="1241"/>
      <c r="J356" s="1242"/>
      <c r="K356" s="1241"/>
      <c r="L356" s="1241"/>
      <c r="M356" s="1241"/>
      <c r="N356" s="1241"/>
      <c r="O356" s="542"/>
    </row>
    <row r="357" spans="1:15" ht="15.75">
      <c r="C357" s="596" t="s">
        <v>292</v>
      </c>
      <c r="D357" s="563"/>
      <c r="E357" s="542"/>
      <c r="F357" s="542"/>
      <c r="G357" s="1276"/>
      <c r="H357" s="542" t="s">
        <v>271</v>
      </c>
      <c r="I357" s="542"/>
      <c r="J357" s="588"/>
      <c r="K357" s="678" t="s">
        <v>296</v>
      </c>
      <c r="L357" s="679"/>
      <c r="M357" s="680"/>
      <c r="N357" s="1244">
        <f>VLOOKUP(I363,C370:O429,5)</f>
        <v>913818.89477110119</v>
      </c>
      <c r="O357" s="542"/>
    </row>
    <row r="358" spans="1:15" ht="15.75">
      <c r="C358" s="596"/>
      <c r="D358" s="563"/>
      <c r="E358" s="542"/>
      <c r="F358" s="542"/>
      <c r="G358" s="542"/>
      <c r="H358" s="1245"/>
      <c r="I358" s="1245"/>
      <c r="J358" s="1246"/>
      <c r="K358" s="683" t="s">
        <v>297</v>
      </c>
      <c r="L358" s="1247"/>
      <c r="M358" s="588"/>
      <c r="N358" s="1248">
        <f>VLOOKUP(I363,C370:O429,6)</f>
        <v>913818.89477110119</v>
      </c>
      <c r="O358" s="542"/>
    </row>
    <row r="359" spans="1:15" ht="13.5" thickBot="1">
      <c r="C359" s="684" t="s">
        <v>293</v>
      </c>
      <c r="D359" s="1712" t="s">
        <v>937</v>
      </c>
      <c r="E359" s="1713"/>
      <c r="F359" s="1713"/>
      <c r="G359" s="1713"/>
      <c r="H359" s="1713"/>
      <c r="I359" s="1713"/>
      <c r="J359" s="1242"/>
      <c r="K359" s="1249" t="s">
        <v>450</v>
      </c>
      <c r="L359" s="1250"/>
      <c r="M359" s="1250"/>
      <c r="N359" s="1251">
        <f>+N358-N357</f>
        <v>0</v>
      </c>
      <c r="O359" s="542"/>
    </row>
    <row r="360" spans="1:15">
      <c r="C360" s="686"/>
      <c r="D360" s="1713"/>
      <c r="E360" s="1713"/>
      <c r="F360" s="1713"/>
      <c r="G360" s="1713"/>
      <c r="H360" s="1713"/>
      <c r="I360" s="1713"/>
      <c r="J360" s="1242"/>
      <c r="K360" s="1241"/>
      <c r="L360" s="1241"/>
      <c r="M360" s="1241"/>
      <c r="N360" s="1241"/>
      <c r="O360" s="542"/>
    </row>
    <row r="361" spans="1:15" ht="13.5" thickBot="1">
      <c r="C361" s="689"/>
      <c r="D361" s="1252"/>
      <c r="E361" s="688"/>
      <c r="F361" s="688"/>
      <c r="G361" s="688"/>
      <c r="H361" s="688"/>
      <c r="I361" s="688"/>
      <c r="J361" s="691"/>
      <c r="K361" s="688"/>
      <c r="L361" s="688"/>
      <c r="M361" s="688"/>
      <c r="N361" s="688"/>
      <c r="O361" s="576"/>
    </row>
    <row r="362" spans="1:15" ht="13.5" thickBot="1">
      <c r="C362" s="692" t="s">
        <v>294</v>
      </c>
      <c r="D362" s="693"/>
      <c r="E362" s="693"/>
      <c r="F362" s="693"/>
      <c r="G362" s="693"/>
      <c r="H362" s="693"/>
      <c r="I362" s="694"/>
      <c r="J362" s="695"/>
      <c r="K362" s="542"/>
      <c r="L362" s="542"/>
      <c r="M362" s="542"/>
      <c r="N362" s="542"/>
      <c r="O362" s="696"/>
    </row>
    <row r="363" spans="1:15" ht="15">
      <c r="C363" s="697" t="s">
        <v>272</v>
      </c>
      <c r="D363" s="1253">
        <v>5705686</v>
      </c>
      <c r="E363" s="655" t="s">
        <v>273</v>
      </c>
      <c r="G363" s="698"/>
      <c r="H363" s="698"/>
      <c r="I363" s="699">
        <v>2018</v>
      </c>
      <c r="J363" s="586"/>
      <c r="K363" s="1702" t="s">
        <v>459</v>
      </c>
      <c r="L363" s="1702"/>
      <c r="M363" s="1702"/>
      <c r="N363" s="1702"/>
      <c r="O363" s="1702"/>
    </row>
    <row r="364" spans="1:15">
      <c r="C364" s="697" t="s">
        <v>275</v>
      </c>
      <c r="D364" s="873">
        <v>2013</v>
      </c>
      <c r="E364" s="697" t="s">
        <v>276</v>
      </c>
      <c r="F364" s="698"/>
      <c r="H364" s="330"/>
      <c r="I364" s="1254">
        <f>IF(G357="",0,$F$15)</f>
        <v>0</v>
      </c>
      <c r="J364" s="700"/>
      <c r="K364" s="1242" t="s">
        <v>459</v>
      </c>
    </row>
    <row r="365" spans="1:15">
      <c r="C365" s="697" t="s">
        <v>277</v>
      </c>
      <c r="D365" s="1280">
        <v>11</v>
      </c>
      <c r="E365" s="697" t="s">
        <v>278</v>
      </c>
      <c r="F365" s="698"/>
      <c r="H365" s="330"/>
      <c r="I365" s="701">
        <f>$G$70</f>
        <v>0.15341253840442806</v>
      </c>
      <c r="J365" s="702"/>
      <c r="K365" s="330" t="str">
        <f>"          INPUT PROJECTED ARR (WITH &amp; WITHOUT INCENTIVES) FROM EACH PRIOR YEAR"</f>
        <v xml:space="preserve">          INPUT PROJECTED ARR (WITH &amp; WITHOUT INCENTIVES) FROM EACH PRIOR YEAR</v>
      </c>
    </row>
    <row r="366" spans="1:15">
      <c r="C366" s="697" t="s">
        <v>279</v>
      </c>
      <c r="D366" s="703">
        <f>G$79</f>
        <v>44</v>
      </c>
      <c r="E366" s="697" t="s">
        <v>280</v>
      </c>
      <c r="F366" s="698"/>
      <c r="H366" s="330"/>
      <c r="I366" s="701">
        <f>IF(G357="",I365,$G$67)</f>
        <v>0.15341253840442806</v>
      </c>
      <c r="J366" s="704"/>
      <c r="K366" s="330" t="s">
        <v>357</v>
      </c>
    </row>
    <row r="367" spans="1:15" ht="13.5" thickBot="1">
      <c r="C367" s="697" t="s">
        <v>281</v>
      </c>
      <c r="D367" s="866" t="s">
        <v>933</v>
      </c>
      <c r="E367" s="705" t="s">
        <v>282</v>
      </c>
      <c r="F367" s="706"/>
      <c r="G367" s="707"/>
      <c r="H367" s="707"/>
      <c r="I367" s="1251">
        <f>IF(D363=0,0,D363/D366)</f>
        <v>129674.68181818182</v>
      </c>
      <c r="J367" s="1242"/>
      <c r="K367" s="1242" t="s">
        <v>363</v>
      </c>
      <c r="L367" s="1242"/>
      <c r="M367" s="1242"/>
      <c r="N367" s="1242"/>
      <c r="O367" s="588"/>
    </row>
    <row r="368" spans="1:15" ht="51">
      <c r="A368" s="529"/>
      <c r="B368" s="1255"/>
      <c r="C368" s="708" t="s">
        <v>272</v>
      </c>
      <c r="D368" s="1256" t="s">
        <v>283</v>
      </c>
      <c r="E368" s="1257" t="s">
        <v>284</v>
      </c>
      <c r="F368" s="1256" t="s">
        <v>285</v>
      </c>
      <c r="G368" s="1257" t="s">
        <v>356</v>
      </c>
      <c r="H368" s="1258" t="s">
        <v>356</v>
      </c>
      <c r="I368" s="708" t="s">
        <v>295</v>
      </c>
      <c r="J368" s="712"/>
      <c r="K368" s="1257" t="s">
        <v>365</v>
      </c>
      <c r="L368" s="1259"/>
      <c r="M368" s="1257" t="s">
        <v>365</v>
      </c>
      <c r="N368" s="1259"/>
      <c r="O368" s="1259"/>
    </row>
    <row r="369" spans="3:15" ht="13.5" thickBot="1">
      <c r="C369" s="714" t="s">
        <v>177</v>
      </c>
      <c r="D369" s="715" t="s">
        <v>178</v>
      </c>
      <c r="E369" s="714" t="s">
        <v>37</v>
      </c>
      <c r="F369" s="715" t="s">
        <v>178</v>
      </c>
      <c r="G369" s="1260" t="s">
        <v>298</v>
      </c>
      <c r="H369" s="1261" t="s">
        <v>300</v>
      </c>
      <c r="I369" s="718" t="s">
        <v>389</v>
      </c>
      <c r="J369" s="719"/>
      <c r="K369" s="1260" t="s">
        <v>287</v>
      </c>
      <c r="L369" s="1262"/>
      <c r="M369" s="1260" t="s">
        <v>300</v>
      </c>
      <c r="N369" s="1262"/>
      <c r="O369" s="1262"/>
    </row>
    <row r="370" spans="3:15">
      <c r="C370" s="720">
        <f>IF(D364= "","-",D364)</f>
        <v>2013</v>
      </c>
      <c r="D370" s="673">
        <f>+D363</f>
        <v>5705686</v>
      </c>
      <c r="E370" s="1263">
        <f>+I367/12*(12-D365)</f>
        <v>10806.223484848486</v>
      </c>
      <c r="F370" s="673">
        <f t="shared" ref="F370:F429" si="18">+D370-E370</f>
        <v>5694879.7765151514</v>
      </c>
      <c r="G370" s="1264">
        <f>+$I$365*((D370+F370)/2)+E370</f>
        <v>885301.09099576797</v>
      </c>
      <c r="H370" s="1265">
        <f>$I$366*((D370+F370)/2)+E370</f>
        <v>885301.09099576797</v>
      </c>
      <c r="I370" s="724">
        <f>+H370-G370</f>
        <v>0</v>
      </c>
      <c r="J370" s="724"/>
      <c r="K370" s="1277">
        <v>528784</v>
      </c>
      <c r="L370" s="725"/>
      <c r="M370" s="1277">
        <v>528784</v>
      </c>
      <c r="N370" s="725"/>
      <c r="O370" s="725"/>
    </row>
    <row r="371" spans="3:15">
      <c r="C371" s="720">
        <f>IF(D364="","-",+C370+1)</f>
        <v>2014</v>
      </c>
      <c r="D371" s="673">
        <f t="shared" ref="D371:D429" si="19">F370</f>
        <v>5694879.7765151514</v>
      </c>
      <c r="E371" s="726">
        <f>IF(D371&gt;$I$367,$I$367,D371)</f>
        <v>129674.68181818182</v>
      </c>
      <c r="F371" s="673">
        <f t="shared" si="18"/>
        <v>5565205.0946969697</v>
      </c>
      <c r="G371" s="1263">
        <f t="shared" ref="G371:G429" si="20">+$I$365*((D371+F371)/2)+E371</f>
        <v>993393.78318915633</v>
      </c>
      <c r="H371" s="1266">
        <f t="shared" ref="H371:H429" si="21">$I$366*((D371+F371)/2)+E371</f>
        <v>993393.78318915633</v>
      </c>
      <c r="I371" s="724">
        <f t="shared" ref="I371:I429" si="22">+H371-G371</f>
        <v>0</v>
      </c>
      <c r="J371" s="724"/>
      <c r="K371" s="869">
        <v>1017894</v>
      </c>
      <c r="L371" s="729"/>
      <c r="M371" s="869">
        <v>1017894</v>
      </c>
      <c r="N371" s="729"/>
      <c r="O371" s="729"/>
    </row>
    <row r="372" spans="3:15">
      <c r="C372" s="720">
        <f>IF(D364="","-",+C371+1)</f>
        <v>2015</v>
      </c>
      <c r="D372" s="673">
        <f t="shared" si="19"/>
        <v>5565205.0946969697</v>
      </c>
      <c r="E372" s="726">
        <f t="shared" ref="E372:E429" si="23">IF(D372&gt;$I$367,$I$367,D372)</f>
        <v>129674.68181818182</v>
      </c>
      <c r="F372" s="673">
        <f t="shared" si="18"/>
        <v>5435530.4128787881</v>
      </c>
      <c r="G372" s="1263">
        <f t="shared" si="20"/>
        <v>973500.06108464254</v>
      </c>
      <c r="H372" s="1266">
        <f t="shared" si="21"/>
        <v>973500.06108464254</v>
      </c>
      <c r="I372" s="724">
        <f t="shared" si="22"/>
        <v>0</v>
      </c>
      <c r="J372" s="724"/>
      <c r="K372" s="869">
        <v>953651</v>
      </c>
      <c r="L372" s="729"/>
      <c r="M372" s="869">
        <v>953651</v>
      </c>
      <c r="N372" s="729"/>
      <c r="O372" s="729"/>
    </row>
    <row r="373" spans="3:15">
      <c r="C373" s="720">
        <f>IF(D364="","-",+C372+1)</f>
        <v>2016</v>
      </c>
      <c r="D373" s="673">
        <f t="shared" si="19"/>
        <v>5435530.4128787881</v>
      </c>
      <c r="E373" s="726">
        <f t="shared" si="23"/>
        <v>129674.68181818182</v>
      </c>
      <c r="F373" s="673">
        <f t="shared" si="18"/>
        <v>5305855.7310606064</v>
      </c>
      <c r="G373" s="1263">
        <f t="shared" si="20"/>
        <v>953606.33898012876</v>
      </c>
      <c r="H373" s="1266">
        <f t="shared" si="21"/>
        <v>953606.33898012876</v>
      </c>
      <c r="I373" s="724">
        <f t="shared" si="22"/>
        <v>0</v>
      </c>
      <c r="J373" s="724"/>
      <c r="K373" s="869">
        <v>919468</v>
      </c>
      <c r="L373" s="729"/>
      <c r="M373" s="869">
        <v>919468</v>
      </c>
      <c r="N373" s="729"/>
      <c r="O373" s="729"/>
    </row>
    <row r="374" spans="3:15">
      <c r="C374" s="720">
        <f>IF(D364="","-",+C373+1)</f>
        <v>2017</v>
      </c>
      <c r="D374" s="673">
        <f t="shared" si="19"/>
        <v>5305855.7310606064</v>
      </c>
      <c r="E374" s="726">
        <f t="shared" si="23"/>
        <v>129674.68181818182</v>
      </c>
      <c r="F374" s="673">
        <f t="shared" si="18"/>
        <v>5176181.0492424248</v>
      </c>
      <c r="G374" s="1263">
        <f t="shared" si="20"/>
        <v>933712.61687561497</v>
      </c>
      <c r="H374" s="1266">
        <f t="shared" si="21"/>
        <v>933712.61687561497</v>
      </c>
      <c r="I374" s="724">
        <f t="shared" si="22"/>
        <v>0</v>
      </c>
      <c r="J374" s="724"/>
      <c r="K374" s="869">
        <v>929340</v>
      </c>
      <c r="L374" s="729"/>
      <c r="M374" s="869">
        <v>929340</v>
      </c>
      <c r="N374" s="729"/>
      <c r="O374" s="729"/>
    </row>
    <row r="375" spans="3:15">
      <c r="C375" s="1268">
        <f>IF(D364="","-",+C374+1)</f>
        <v>2018</v>
      </c>
      <c r="D375" s="1269">
        <f t="shared" si="19"/>
        <v>5176181.0492424248</v>
      </c>
      <c r="E375" s="1270">
        <f t="shared" si="23"/>
        <v>129674.68181818182</v>
      </c>
      <c r="F375" s="1269">
        <f t="shared" si="18"/>
        <v>5046506.3674242431</v>
      </c>
      <c r="G375" s="1271">
        <f t="shared" si="20"/>
        <v>913818.89477110119</v>
      </c>
      <c r="H375" s="1272">
        <f t="shared" si="21"/>
        <v>913818.89477110119</v>
      </c>
      <c r="I375" s="1273">
        <f t="shared" si="22"/>
        <v>0</v>
      </c>
      <c r="J375" s="724"/>
      <c r="K375" s="869"/>
      <c r="L375" s="729"/>
      <c r="M375" s="869"/>
      <c r="N375" s="729"/>
      <c r="O375" s="729"/>
    </row>
    <row r="376" spans="3:15">
      <c r="C376" s="720">
        <f>IF(D364="","-",+C375+1)</f>
        <v>2019</v>
      </c>
      <c r="D376" s="673">
        <f t="shared" si="19"/>
        <v>5046506.3674242431</v>
      </c>
      <c r="E376" s="726">
        <f t="shared" si="23"/>
        <v>129674.68181818182</v>
      </c>
      <c r="F376" s="673">
        <f t="shared" si="18"/>
        <v>4916831.6856060615</v>
      </c>
      <c r="G376" s="1263">
        <f t="shared" si="20"/>
        <v>893925.1726665874</v>
      </c>
      <c r="H376" s="1266">
        <f t="shared" si="21"/>
        <v>893925.1726665874</v>
      </c>
      <c r="I376" s="724">
        <f t="shared" si="22"/>
        <v>0</v>
      </c>
      <c r="J376" s="724"/>
      <c r="K376" s="869"/>
      <c r="L376" s="729"/>
      <c r="M376" s="869"/>
      <c r="N376" s="729"/>
      <c r="O376" s="729"/>
    </row>
    <row r="377" spans="3:15">
      <c r="C377" s="720">
        <f>IF(D364="","-",+C376+1)</f>
        <v>2020</v>
      </c>
      <c r="D377" s="673">
        <f t="shared" si="19"/>
        <v>4916831.6856060615</v>
      </c>
      <c r="E377" s="726">
        <f t="shared" si="23"/>
        <v>129674.68181818182</v>
      </c>
      <c r="F377" s="673">
        <f t="shared" si="18"/>
        <v>4787157.0037878798</v>
      </c>
      <c r="G377" s="1263">
        <f t="shared" si="20"/>
        <v>874031.45056207362</v>
      </c>
      <c r="H377" s="1266">
        <f t="shared" si="21"/>
        <v>874031.45056207362</v>
      </c>
      <c r="I377" s="724">
        <f t="shared" si="22"/>
        <v>0</v>
      </c>
      <c r="J377" s="724"/>
      <c r="K377" s="869"/>
      <c r="L377" s="729"/>
      <c r="M377" s="869"/>
      <c r="N377" s="729"/>
      <c r="O377" s="729"/>
    </row>
    <row r="378" spans="3:15">
      <c r="C378" s="720">
        <f>IF(D364="","-",+C377+1)</f>
        <v>2021</v>
      </c>
      <c r="D378" s="673">
        <f t="shared" si="19"/>
        <v>4787157.0037878798</v>
      </c>
      <c r="E378" s="726">
        <f t="shared" si="23"/>
        <v>129674.68181818182</v>
      </c>
      <c r="F378" s="673">
        <f t="shared" si="18"/>
        <v>4657482.3219696982</v>
      </c>
      <c r="G378" s="1263">
        <f t="shared" si="20"/>
        <v>854137.72845755983</v>
      </c>
      <c r="H378" s="1266">
        <f t="shared" si="21"/>
        <v>854137.72845755983</v>
      </c>
      <c r="I378" s="724">
        <f t="shared" si="22"/>
        <v>0</v>
      </c>
      <c r="J378" s="724"/>
      <c r="K378" s="869"/>
      <c r="L378" s="729"/>
      <c r="M378" s="869"/>
      <c r="N378" s="729"/>
      <c r="O378" s="729"/>
    </row>
    <row r="379" spans="3:15">
      <c r="C379" s="720">
        <f>IF(D364="","-",+C378+1)</f>
        <v>2022</v>
      </c>
      <c r="D379" s="673">
        <f t="shared" si="19"/>
        <v>4657482.3219696982</v>
      </c>
      <c r="E379" s="726">
        <f t="shared" si="23"/>
        <v>129674.68181818182</v>
      </c>
      <c r="F379" s="673">
        <f t="shared" si="18"/>
        <v>4527807.6401515165</v>
      </c>
      <c r="G379" s="1263">
        <f t="shared" si="20"/>
        <v>834244.00635304605</v>
      </c>
      <c r="H379" s="1266">
        <f t="shared" si="21"/>
        <v>834244.00635304605</v>
      </c>
      <c r="I379" s="724">
        <f t="shared" si="22"/>
        <v>0</v>
      </c>
      <c r="J379" s="724"/>
      <c r="K379" s="869"/>
      <c r="L379" s="729"/>
      <c r="M379" s="869"/>
      <c r="N379" s="729"/>
      <c r="O379" s="729"/>
    </row>
    <row r="380" spans="3:15">
      <c r="C380" s="720">
        <f>IF(D364="","-",+C379+1)</f>
        <v>2023</v>
      </c>
      <c r="D380" s="673">
        <f t="shared" si="19"/>
        <v>4527807.6401515165</v>
      </c>
      <c r="E380" s="726">
        <f t="shared" si="23"/>
        <v>129674.68181818182</v>
      </c>
      <c r="F380" s="673">
        <f t="shared" si="18"/>
        <v>4398132.9583333349</v>
      </c>
      <c r="G380" s="1263">
        <f t="shared" si="20"/>
        <v>814350.28424853226</v>
      </c>
      <c r="H380" s="1266">
        <f t="shared" si="21"/>
        <v>814350.28424853226</v>
      </c>
      <c r="I380" s="724">
        <f t="shared" si="22"/>
        <v>0</v>
      </c>
      <c r="J380" s="724"/>
      <c r="K380" s="869"/>
      <c r="L380" s="729"/>
      <c r="M380" s="869"/>
      <c r="N380" s="729"/>
      <c r="O380" s="729"/>
    </row>
    <row r="381" spans="3:15">
      <c r="C381" s="720">
        <f>IF(D364="","-",+C380+1)</f>
        <v>2024</v>
      </c>
      <c r="D381" s="673">
        <f t="shared" si="19"/>
        <v>4398132.9583333349</v>
      </c>
      <c r="E381" s="726">
        <f t="shared" si="23"/>
        <v>129674.68181818182</v>
      </c>
      <c r="F381" s="673">
        <f t="shared" si="18"/>
        <v>4268458.2765151532</v>
      </c>
      <c r="G381" s="1263">
        <f t="shared" si="20"/>
        <v>794456.56214401848</v>
      </c>
      <c r="H381" s="1266">
        <f t="shared" si="21"/>
        <v>794456.56214401848</v>
      </c>
      <c r="I381" s="724">
        <f t="shared" si="22"/>
        <v>0</v>
      </c>
      <c r="J381" s="724"/>
      <c r="K381" s="869"/>
      <c r="L381" s="729"/>
      <c r="M381" s="869"/>
      <c r="N381" s="729"/>
      <c r="O381" s="729"/>
    </row>
    <row r="382" spans="3:15">
      <c r="C382" s="720">
        <f>IF(D364="","-",+C381+1)</f>
        <v>2025</v>
      </c>
      <c r="D382" s="673">
        <f t="shared" si="19"/>
        <v>4268458.2765151532</v>
      </c>
      <c r="E382" s="726">
        <f t="shared" si="23"/>
        <v>129674.68181818182</v>
      </c>
      <c r="F382" s="673">
        <f t="shared" si="18"/>
        <v>4138783.5946969716</v>
      </c>
      <c r="G382" s="1263">
        <f t="shared" si="20"/>
        <v>774562.84003950469</v>
      </c>
      <c r="H382" s="1266">
        <f t="shared" si="21"/>
        <v>774562.84003950469</v>
      </c>
      <c r="I382" s="724">
        <f t="shared" si="22"/>
        <v>0</v>
      </c>
      <c r="J382" s="724"/>
      <c r="K382" s="869"/>
      <c r="L382" s="729"/>
      <c r="M382" s="869"/>
      <c r="N382" s="729"/>
      <c r="O382" s="729"/>
    </row>
    <row r="383" spans="3:15">
      <c r="C383" s="720">
        <f>IF(D364="","-",+C382+1)</f>
        <v>2026</v>
      </c>
      <c r="D383" s="673">
        <f t="shared" si="19"/>
        <v>4138783.5946969716</v>
      </c>
      <c r="E383" s="726">
        <f t="shared" si="23"/>
        <v>129674.68181818182</v>
      </c>
      <c r="F383" s="673">
        <f t="shared" si="18"/>
        <v>4009108.9128787899</v>
      </c>
      <c r="G383" s="1263">
        <f t="shared" si="20"/>
        <v>754669.11793499091</v>
      </c>
      <c r="H383" s="1266">
        <f t="shared" si="21"/>
        <v>754669.11793499091</v>
      </c>
      <c r="I383" s="724">
        <f t="shared" si="22"/>
        <v>0</v>
      </c>
      <c r="J383" s="724"/>
      <c r="K383" s="869"/>
      <c r="L383" s="729"/>
      <c r="M383" s="869"/>
      <c r="N383" s="729"/>
      <c r="O383" s="729"/>
    </row>
    <row r="384" spans="3:15">
      <c r="C384" s="720">
        <f>IF(D364="","-",+C383+1)</f>
        <v>2027</v>
      </c>
      <c r="D384" s="673">
        <f t="shared" si="19"/>
        <v>4009108.9128787899</v>
      </c>
      <c r="E384" s="726">
        <f t="shared" si="23"/>
        <v>129674.68181818182</v>
      </c>
      <c r="F384" s="673">
        <f t="shared" si="18"/>
        <v>3879434.2310606083</v>
      </c>
      <c r="G384" s="1263">
        <f t="shared" si="20"/>
        <v>734775.39583047712</v>
      </c>
      <c r="H384" s="1266">
        <f t="shared" si="21"/>
        <v>734775.39583047712</v>
      </c>
      <c r="I384" s="724">
        <f t="shared" si="22"/>
        <v>0</v>
      </c>
      <c r="J384" s="724"/>
      <c r="K384" s="869"/>
      <c r="L384" s="729"/>
      <c r="M384" s="869"/>
      <c r="N384" s="729"/>
      <c r="O384" s="729"/>
    </row>
    <row r="385" spans="3:15">
      <c r="C385" s="720">
        <f>IF(D364="","-",+C384+1)</f>
        <v>2028</v>
      </c>
      <c r="D385" s="673">
        <f t="shared" si="19"/>
        <v>3879434.2310606083</v>
      </c>
      <c r="E385" s="726">
        <f t="shared" si="23"/>
        <v>129674.68181818182</v>
      </c>
      <c r="F385" s="673">
        <f t="shared" si="18"/>
        <v>3749759.5492424266</v>
      </c>
      <c r="G385" s="1263">
        <f t="shared" si="20"/>
        <v>714881.67372596334</v>
      </c>
      <c r="H385" s="1266">
        <f t="shared" si="21"/>
        <v>714881.67372596334</v>
      </c>
      <c r="I385" s="724">
        <f t="shared" si="22"/>
        <v>0</v>
      </c>
      <c r="J385" s="724"/>
      <c r="K385" s="869"/>
      <c r="L385" s="729"/>
      <c r="M385" s="869"/>
      <c r="N385" s="729"/>
      <c r="O385" s="729"/>
    </row>
    <row r="386" spans="3:15">
      <c r="C386" s="720">
        <f>IF(D364="","-",+C385+1)</f>
        <v>2029</v>
      </c>
      <c r="D386" s="673">
        <f t="shared" si="19"/>
        <v>3749759.5492424266</v>
      </c>
      <c r="E386" s="726">
        <f t="shared" si="23"/>
        <v>129674.68181818182</v>
      </c>
      <c r="F386" s="673">
        <f t="shared" si="18"/>
        <v>3620084.867424245</v>
      </c>
      <c r="G386" s="1263">
        <f t="shared" si="20"/>
        <v>694987.95162144955</v>
      </c>
      <c r="H386" s="1266">
        <f t="shared" si="21"/>
        <v>694987.95162144955</v>
      </c>
      <c r="I386" s="724">
        <f t="shared" si="22"/>
        <v>0</v>
      </c>
      <c r="J386" s="724"/>
      <c r="K386" s="869"/>
      <c r="L386" s="729"/>
      <c r="M386" s="869"/>
      <c r="N386" s="729"/>
      <c r="O386" s="729"/>
    </row>
    <row r="387" spans="3:15">
      <c r="C387" s="720">
        <f>IF(D364="","-",+C386+1)</f>
        <v>2030</v>
      </c>
      <c r="D387" s="673">
        <f t="shared" si="19"/>
        <v>3620084.867424245</v>
      </c>
      <c r="E387" s="726">
        <f t="shared" si="23"/>
        <v>129674.68181818182</v>
      </c>
      <c r="F387" s="673">
        <f t="shared" si="18"/>
        <v>3490410.1856060633</v>
      </c>
      <c r="G387" s="1263">
        <f t="shared" si="20"/>
        <v>675094.22951693577</v>
      </c>
      <c r="H387" s="1266">
        <f t="shared" si="21"/>
        <v>675094.22951693577</v>
      </c>
      <c r="I387" s="724">
        <f t="shared" si="22"/>
        <v>0</v>
      </c>
      <c r="J387" s="724"/>
      <c r="K387" s="869"/>
      <c r="L387" s="729"/>
      <c r="M387" s="869"/>
      <c r="N387" s="729"/>
      <c r="O387" s="729"/>
    </row>
    <row r="388" spans="3:15">
      <c r="C388" s="720">
        <f>IF(D364="","-",+C387+1)</f>
        <v>2031</v>
      </c>
      <c r="D388" s="673">
        <f t="shared" si="19"/>
        <v>3490410.1856060633</v>
      </c>
      <c r="E388" s="726">
        <f t="shared" si="23"/>
        <v>129674.68181818182</v>
      </c>
      <c r="F388" s="673">
        <f t="shared" si="18"/>
        <v>3360735.5037878817</v>
      </c>
      <c r="G388" s="1263">
        <f t="shared" si="20"/>
        <v>655200.50741242198</v>
      </c>
      <c r="H388" s="1266">
        <f t="shared" si="21"/>
        <v>655200.50741242198</v>
      </c>
      <c r="I388" s="724">
        <f t="shared" si="22"/>
        <v>0</v>
      </c>
      <c r="J388" s="724"/>
      <c r="K388" s="869"/>
      <c r="L388" s="729"/>
      <c r="M388" s="869"/>
      <c r="N388" s="729"/>
      <c r="O388" s="729"/>
    </row>
    <row r="389" spans="3:15">
      <c r="C389" s="720">
        <f>IF(D364="","-",+C388+1)</f>
        <v>2032</v>
      </c>
      <c r="D389" s="673">
        <f t="shared" si="19"/>
        <v>3360735.5037878817</v>
      </c>
      <c r="E389" s="726">
        <f t="shared" si="23"/>
        <v>129674.68181818182</v>
      </c>
      <c r="F389" s="673">
        <f t="shared" si="18"/>
        <v>3231060.8219697</v>
      </c>
      <c r="G389" s="1263">
        <f t="shared" si="20"/>
        <v>635306.7853079082</v>
      </c>
      <c r="H389" s="1266">
        <f t="shared" si="21"/>
        <v>635306.7853079082</v>
      </c>
      <c r="I389" s="724">
        <f t="shared" si="22"/>
        <v>0</v>
      </c>
      <c r="J389" s="724"/>
      <c r="K389" s="869"/>
      <c r="L389" s="729"/>
      <c r="M389" s="869"/>
      <c r="N389" s="729"/>
      <c r="O389" s="729"/>
    </row>
    <row r="390" spans="3:15">
      <c r="C390" s="720">
        <f>IF(D364="","-",+C389+1)</f>
        <v>2033</v>
      </c>
      <c r="D390" s="673">
        <f t="shared" si="19"/>
        <v>3231060.8219697</v>
      </c>
      <c r="E390" s="726">
        <f t="shared" si="23"/>
        <v>129674.68181818182</v>
      </c>
      <c r="F390" s="673">
        <f t="shared" si="18"/>
        <v>3101386.1401515184</v>
      </c>
      <c r="G390" s="1263">
        <f t="shared" si="20"/>
        <v>615413.06320339441</v>
      </c>
      <c r="H390" s="1266">
        <f t="shared" si="21"/>
        <v>615413.06320339441</v>
      </c>
      <c r="I390" s="724">
        <f t="shared" si="22"/>
        <v>0</v>
      </c>
      <c r="J390" s="724"/>
      <c r="K390" s="869"/>
      <c r="L390" s="729"/>
      <c r="M390" s="869"/>
      <c r="N390" s="729"/>
      <c r="O390" s="729"/>
    </row>
    <row r="391" spans="3:15">
      <c r="C391" s="720">
        <f>IF(D364="","-",+C390+1)</f>
        <v>2034</v>
      </c>
      <c r="D391" s="673">
        <f t="shared" si="19"/>
        <v>3101386.1401515184</v>
      </c>
      <c r="E391" s="726">
        <f t="shared" si="23"/>
        <v>129674.68181818182</v>
      </c>
      <c r="F391" s="673">
        <f t="shared" si="18"/>
        <v>2971711.4583333367</v>
      </c>
      <c r="G391" s="1263">
        <f t="shared" si="20"/>
        <v>595519.34109888063</v>
      </c>
      <c r="H391" s="1266">
        <f t="shared" si="21"/>
        <v>595519.34109888063</v>
      </c>
      <c r="I391" s="724">
        <f t="shared" si="22"/>
        <v>0</v>
      </c>
      <c r="J391" s="724"/>
      <c r="K391" s="869"/>
      <c r="L391" s="729"/>
      <c r="M391" s="869"/>
      <c r="N391" s="729"/>
      <c r="O391" s="729"/>
    </row>
    <row r="392" spans="3:15">
      <c r="C392" s="720">
        <f>IF(D364="","-",+C391+1)</f>
        <v>2035</v>
      </c>
      <c r="D392" s="673">
        <f t="shared" si="19"/>
        <v>2971711.4583333367</v>
      </c>
      <c r="E392" s="726">
        <f t="shared" si="23"/>
        <v>129674.68181818182</v>
      </c>
      <c r="F392" s="673">
        <f t="shared" si="18"/>
        <v>2842036.7765151551</v>
      </c>
      <c r="G392" s="1263">
        <f t="shared" si="20"/>
        <v>575625.61899436684</v>
      </c>
      <c r="H392" s="1266">
        <f t="shared" si="21"/>
        <v>575625.61899436684</v>
      </c>
      <c r="I392" s="724">
        <f t="shared" si="22"/>
        <v>0</v>
      </c>
      <c r="J392" s="724"/>
      <c r="K392" s="869"/>
      <c r="L392" s="729"/>
      <c r="M392" s="869"/>
      <c r="N392" s="729"/>
      <c r="O392" s="729"/>
    </row>
    <row r="393" spans="3:15">
      <c r="C393" s="720">
        <f>IF(D364="","-",+C392+1)</f>
        <v>2036</v>
      </c>
      <c r="D393" s="673">
        <f t="shared" si="19"/>
        <v>2842036.7765151551</v>
      </c>
      <c r="E393" s="726">
        <f t="shared" si="23"/>
        <v>129674.68181818182</v>
      </c>
      <c r="F393" s="673">
        <f t="shared" si="18"/>
        <v>2712362.0946969735</v>
      </c>
      <c r="G393" s="1263">
        <f t="shared" si="20"/>
        <v>555731.89688985306</v>
      </c>
      <c r="H393" s="1266">
        <f t="shared" si="21"/>
        <v>555731.89688985306</v>
      </c>
      <c r="I393" s="724">
        <f t="shared" si="22"/>
        <v>0</v>
      </c>
      <c r="J393" s="724"/>
      <c r="K393" s="869"/>
      <c r="L393" s="729"/>
      <c r="M393" s="869"/>
      <c r="N393" s="729"/>
      <c r="O393" s="729"/>
    </row>
    <row r="394" spans="3:15">
      <c r="C394" s="720">
        <f>IF(D364="","-",+C393+1)</f>
        <v>2037</v>
      </c>
      <c r="D394" s="673">
        <f t="shared" si="19"/>
        <v>2712362.0946969735</v>
      </c>
      <c r="E394" s="726">
        <f t="shared" si="23"/>
        <v>129674.68181818182</v>
      </c>
      <c r="F394" s="673">
        <f t="shared" si="18"/>
        <v>2582687.4128787918</v>
      </c>
      <c r="G394" s="1263">
        <f t="shared" si="20"/>
        <v>535838.17478533927</v>
      </c>
      <c r="H394" s="1266">
        <f t="shared" si="21"/>
        <v>535838.17478533927</v>
      </c>
      <c r="I394" s="724">
        <f t="shared" si="22"/>
        <v>0</v>
      </c>
      <c r="J394" s="724"/>
      <c r="K394" s="869"/>
      <c r="L394" s="729"/>
      <c r="M394" s="869"/>
      <c r="N394" s="729"/>
      <c r="O394" s="729"/>
    </row>
    <row r="395" spans="3:15">
      <c r="C395" s="720">
        <f>IF(D364="","-",+C394+1)</f>
        <v>2038</v>
      </c>
      <c r="D395" s="673">
        <f t="shared" si="19"/>
        <v>2582687.4128787918</v>
      </c>
      <c r="E395" s="726">
        <f t="shared" si="23"/>
        <v>129674.68181818182</v>
      </c>
      <c r="F395" s="673">
        <f t="shared" si="18"/>
        <v>2453012.7310606102</v>
      </c>
      <c r="G395" s="1263">
        <f t="shared" si="20"/>
        <v>515944.45268082555</v>
      </c>
      <c r="H395" s="1266">
        <f t="shared" si="21"/>
        <v>515944.45268082555</v>
      </c>
      <c r="I395" s="724">
        <f t="shared" si="22"/>
        <v>0</v>
      </c>
      <c r="J395" s="724"/>
      <c r="K395" s="869"/>
      <c r="L395" s="729"/>
      <c r="M395" s="869"/>
      <c r="N395" s="729"/>
      <c r="O395" s="729"/>
    </row>
    <row r="396" spans="3:15">
      <c r="C396" s="720">
        <f>IF(D364="","-",+C395+1)</f>
        <v>2039</v>
      </c>
      <c r="D396" s="673">
        <f t="shared" si="19"/>
        <v>2453012.7310606102</v>
      </c>
      <c r="E396" s="726">
        <f t="shared" si="23"/>
        <v>129674.68181818182</v>
      </c>
      <c r="F396" s="673">
        <f t="shared" si="18"/>
        <v>2323338.0492424285</v>
      </c>
      <c r="G396" s="1263">
        <f t="shared" si="20"/>
        <v>496050.73057631176</v>
      </c>
      <c r="H396" s="1266">
        <f t="shared" si="21"/>
        <v>496050.73057631176</v>
      </c>
      <c r="I396" s="724">
        <f t="shared" si="22"/>
        <v>0</v>
      </c>
      <c r="J396" s="724"/>
      <c r="K396" s="869"/>
      <c r="L396" s="729"/>
      <c r="M396" s="869"/>
      <c r="N396" s="729"/>
      <c r="O396" s="729"/>
    </row>
    <row r="397" spans="3:15">
      <c r="C397" s="720">
        <f>IF(D364="","-",+C396+1)</f>
        <v>2040</v>
      </c>
      <c r="D397" s="673">
        <f t="shared" si="19"/>
        <v>2323338.0492424285</v>
      </c>
      <c r="E397" s="726">
        <f t="shared" si="23"/>
        <v>129674.68181818182</v>
      </c>
      <c r="F397" s="673">
        <f t="shared" si="18"/>
        <v>2193663.3674242469</v>
      </c>
      <c r="G397" s="1263">
        <f t="shared" si="20"/>
        <v>476157.00847179798</v>
      </c>
      <c r="H397" s="1266">
        <f t="shared" si="21"/>
        <v>476157.00847179798</v>
      </c>
      <c r="I397" s="724">
        <f t="shared" si="22"/>
        <v>0</v>
      </c>
      <c r="J397" s="724"/>
      <c r="K397" s="869"/>
      <c r="L397" s="729"/>
      <c r="M397" s="869"/>
      <c r="N397" s="729"/>
      <c r="O397" s="729"/>
    </row>
    <row r="398" spans="3:15">
      <c r="C398" s="720">
        <f>IF(D364="","-",+C397+1)</f>
        <v>2041</v>
      </c>
      <c r="D398" s="673">
        <f t="shared" si="19"/>
        <v>2193663.3674242469</v>
      </c>
      <c r="E398" s="726">
        <f t="shared" si="23"/>
        <v>129674.68181818182</v>
      </c>
      <c r="F398" s="673">
        <f t="shared" si="18"/>
        <v>2063988.685606065</v>
      </c>
      <c r="G398" s="1264">
        <f t="shared" si="20"/>
        <v>456263.28636728419</v>
      </c>
      <c r="H398" s="1266">
        <f t="shared" si="21"/>
        <v>456263.28636728419</v>
      </c>
      <c r="I398" s="724">
        <f t="shared" si="22"/>
        <v>0</v>
      </c>
      <c r="J398" s="724"/>
      <c r="K398" s="869"/>
      <c r="L398" s="729"/>
      <c r="M398" s="869"/>
      <c r="N398" s="729"/>
      <c r="O398" s="729"/>
    </row>
    <row r="399" spans="3:15">
      <c r="C399" s="720">
        <f>IF(D364="","-",+C398+1)</f>
        <v>2042</v>
      </c>
      <c r="D399" s="673">
        <f t="shared" si="19"/>
        <v>2063988.685606065</v>
      </c>
      <c r="E399" s="726">
        <f t="shared" si="23"/>
        <v>129674.68181818182</v>
      </c>
      <c r="F399" s="673">
        <f t="shared" si="18"/>
        <v>1934314.0037878831</v>
      </c>
      <c r="G399" s="1263">
        <f t="shared" si="20"/>
        <v>436369.56426277035</v>
      </c>
      <c r="H399" s="1266">
        <f t="shared" si="21"/>
        <v>436369.56426277035</v>
      </c>
      <c r="I399" s="724">
        <f t="shared" si="22"/>
        <v>0</v>
      </c>
      <c r="J399" s="724"/>
      <c r="K399" s="869"/>
      <c r="L399" s="729"/>
      <c r="M399" s="869"/>
      <c r="N399" s="729"/>
      <c r="O399" s="729"/>
    </row>
    <row r="400" spans="3:15">
      <c r="C400" s="720">
        <f>IF(D364="","-",+C399+1)</f>
        <v>2043</v>
      </c>
      <c r="D400" s="673">
        <f t="shared" si="19"/>
        <v>1934314.0037878831</v>
      </c>
      <c r="E400" s="726">
        <f t="shared" si="23"/>
        <v>129674.68181818182</v>
      </c>
      <c r="F400" s="673">
        <f t="shared" si="18"/>
        <v>1804639.3219697012</v>
      </c>
      <c r="G400" s="1263">
        <f t="shared" si="20"/>
        <v>416475.84215825656</v>
      </c>
      <c r="H400" s="1266">
        <f t="shared" si="21"/>
        <v>416475.84215825656</v>
      </c>
      <c r="I400" s="724">
        <f t="shared" si="22"/>
        <v>0</v>
      </c>
      <c r="J400" s="724"/>
      <c r="K400" s="869"/>
      <c r="L400" s="729"/>
      <c r="M400" s="869"/>
      <c r="N400" s="729"/>
      <c r="O400" s="729"/>
    </row>
    <row r="401" spans="3:15">
      <c r="C401" s="720">
        <f>IF(D364="","-",+C400+1)</f>
        <v>2044</v>
      </c>
      <c r="D401" s="673">
        <f t="shared" si="19"/>
        <v>1804639.3219697012</v>
      </c>
      <c r="E401" s="726">
        <f t="shared" si="23"/>
        <v>129674.68181818182</v>
      </c>
      <c r="F401" s="673">
        <f t="shared" si="18"/>
        <v>1674964.6401515193</v>
      </c>
      <c r="G401" s="1263">
        <f t="shared" si="20"/>
        <v>396582.12005374272</v>
      </c>
      <c r="H401" s="1266">
        <f t="shared" si="21"/>
        <v>396582.12005374272</v>
      </c>
      <c r="I401" s="724">
        <f t="shared" si="22"/>
        <v>0</v>
      </c>
      <c r="J401" s="724"/>
      <c r="K401" s="869"/>
      <c r="L401" s="729"/>
      <c r="M401" s="869"/>
      <c r="N401" s="729"/>
      <c r="O401" s="729"/>
    </row>
    <row r="402" spans="3:15">
      <c r="C402" s="720">
        <f>IF(D364="","-",+C401+1)</f>
        <v>2045</v>
      </c>
      <c r="D402" s="673">
        <f t="shared" si="19"/>
        <v>1674964.6401515193</v>
      </c>
      <c r="E402" s="726">
        <f t="shared" si="23"/>
        <v>129674.68181818182</v>
      </c>
      <c r="F402" s="673">
        <f t="shared" si="18"/>
        <v>1545289.9583333374</v>
      </c>
      <c r="G402" s="1263">
        <f t="shared" si="20"/>
        <v>376688.39794922888</v>
      </c>
      <c r="H402" s="1266">
        <f t="shared" si="21"/>
        <v>376688.39794922888</v>
      </c>
      <c r="I402" s="724">
        <f t="shared" si="22"/>
        <v>0</v>
      </c>
      <c r="J402" s="724"/>
      <c r="K402" s="869"/>
      <c r="L402" s="729"/>
      <c r="M402" s="869"/>
      <c r="N402" s="729"/>
      <c r="O402" s="729"/>
    </row>
    <row r="403" spans="3:15">
      <c r="C403" s="720">
        <f>IF(D364="","-",+C402+1)</f>
        <v>2046</v>
      </c>
      <c r="D403" s="673">
        <f t="shared" si="19"/>
        <v>1545289.9583333374</v>
      </c>
      <c r="E403" s="726">
        <f t="shared" si="23"/>
        <v>129674.68181818182</v>
      </c>
      <c r="F403" s="673">
        <f t="shared" si="18"/>
        <v>1415615.2765151556</v>
      </c>
      <c r="G403" s="1263">
        <f t="shared" si="20"/>
        <v>356794.67584471509</v>
      </c>
      <c r="H403" s="1266">
        <f t="shared" si="21"/>
        <v>356794.67584471509</v>
      </c>
      <c r="I403" s="724">
        <f t="shared" si="22"/>
        <v>0</v>
      </c>
      <c r="J403" s="724"/>
      <c r="K403" s="869"/>
      <c r="L403" s="729"/>
      <c r="M403" s="869"/>
      <c r="N403" s="729"/>
      <c r="O403" s="729"/>
    </row>
    <row r="404" spans="3:15">
      <c r="C404" s="720">
        <f>IF(D364="","-",+C403+1)</f>
        <v>2047</v>
      </c>
      <c r="D404" s="673">
        <f t="shared" si="19"/>
        <v>1415615.2765151556</v>
      </c>
      <c r="E404" s="726">
        <f t="shared" si="23"/>
        <v>129674.68181818182</v>
      </c>
      <c r="F404" s="673">
        <f t="shared" si="18"/>
        <v>1285940.5946969737</v>
      </c>
      <c r="G404" s="1263">
        <f t="shared" si="20"/>
        <v>336900.95374020131</v>
      </c>
      <c r="H404" s="1266">
        <f t="shared" si="21"/>
        <v>336900.95374020131</v>
      </c>
      <c r="I404" s="724">
        <f t="shared" si="22"/>
        <v>0</v>
      </c>
      <c r="J404" s="724"/>
      <c r="K404" s="869"/>
      <c r="L404" s="729"/>
      <c r="M404" s="869"/>
      <c r="N404" s="729"/>
      <c r="O404" s="729"/>
    </row>
    <row r="405" spans="3:15">
      <c r="C405" s="720">
        <f>IF(D364="","-",+C404+1)</f>
        <v>2048</v>
      </c>
      <c r="D405" s="673">
        <f t="shared" si="19"/>
        <v>1285940.5946969737</v>
      </c>
      <c r="E405" s="726">
        <f t="shared" si="23"/>
        <v>129674.68181818182</v>
      </c>
      <c r="F405" s="673">
        <f t="shared" si="18"/>
        <v>1156265.9128787918</v>
      </c>
      <c r="G405" s="1263">
        <f t="shared" si="20"/>
        <v>317007.23163568741</v>
      </c>
      <c r="H405" s="1266">
        <f t="shared" si="21"/>
        <v>317007.23163568741</v>
      </c>
      <c r="I405" s="724">
        <f t="shared" si="22"/>
        <v>0</v>
      </c>
      <c r="J405" s="724"/>
      <c r="K405" s="869"/>
      <c r="L405" s="729"/>
      <c r="M405" s="869"/>
      <c r="N405" s="729"/>
      <c r="O405" s="729"/>
    </row>
    <row r="406" spans="3:15">
      <c r="C406" s="720">
        <f>IF(D364="","-",+C405+1)</f>
        <v>2049</v>
      </c>
      <c r="D406" s="673">
        <f t="shared" si="19"/>
        <v>1156265.9128787918</v>
      </c>
      <c r="E406" s="726">
        <f t="shared" si="23"/>
        <v>129674.68181818182</v>
      </c>
      <c r="F406" s="673">
        <f t="shared" si="18"/>
        <v>1026591.2310606099</v>
      </c>
      <c r="G406" s="1263">
        <f t="shared" si="20"/>
        <v>297113.50953117362</v>
      </c>
      <c r="H406" s="1266">
        <f t="shared" si="21"/>
        <v>297113.50953117362</v>
      </c>
      <c r="I406" s="724">
        <f t="shared" si="22"/>
        <v>0</v>
      </c>
      <c r="J406" s="724"/>
      <c r="K406" s="869"/>
      <c r="L406" s="729"/>
      <c r="M406" s="869"/>
      <c r="N406" s="729"/>
      <c r="O406" s="729"/>
    </row>
    <row r="407" spans="3:15">
      <c r="C407" s="720">
        <f>IF(D364="","-",+C406+1)</f>
        <v>2050</v>
      </c>
      <c r="D407" s="673">
        <f t="shared" si="19"/>
        <v>1026591.2310606099</v>
      </c>
      <c r="E407" s="726">
        <f t="shared" si="23"/>
        <v>129674.68181818182</v>
      </c>
      <c r="F407" s="673">
        <f t="shared" si="18"/>
        <v>896916.54924242804</v>
      </c>
      <c r="G407" s="1263">
        <f t="shared" si="20"/>
        <v>277219.78742665984</v>
      </c>
      <c r="H407" s="1266">
        <f t="shared" si="21"/>
        <v>277219.78742665984</v>
      </c>
      <c r="I407" s="724">
        <f t="shared" si="22"/>
        <v>0</v>
      </c>
      <c r="J407" s="724"/>
      <c r="K407" s="869"/>
      <c r="L407" s="729"/>
      <c r="M407" s="869"/>
      <c r="N407" s="729"/>
      <c r="O407" s="729"/>
    </row>
    <row r="408" spans="3:15">
      <c r="C408" s="720">
        <f>IF(D364="","-",+C407+1)</f>
        <v>2051</v>
      </c>
      <c r="D408" s="673">
        <f t="shared" si="19"/>
        <v>896916.54924242804</v>
      </c>
      <c r="E408" s="726">
        <f t="shared" si="23"/>
        <v>129674.68181818182</v>
      </c>
      <c r="F408" s="673">
        <f t="shared" si="18"/>
        <v>767241.86742424616</v>
      </c>
      <c r="G408" s="1263">
        <f t="shared" si="20"/>
        <v>257326.06532214599</v>
      </c>
      <c r="H408" s="1266">
        <f t="shared" si="21"/>
        <v>257326.06532214599</v>
      </c>
      <c r="I408" s="724">
        <f t="shared" si="22"/>
        <v>0</v>
      </c>
      <c r="J408" s="724"/>
      <c r="K408" s="869"/>
      <c r="L408" s="729"/>
      <c r="M408" s="869"/>
      <c r="N408" s="729"/>
      <c r="O408" s="729"/>
    </row>
    <row r="409" spans="3:15">
      <c r="C409" s="720">
        <f>IF(D364="","-",+C408+1)</f>
        <v>2052</v>
      </c>
      <c r="D409" s="673">
        <f t="shared" si="19"/>
        <v>767241.86742424616</v>
      </c>
      <c r="E409" s="726">
        <f t="shared" si="23"/>
        <v>129674.68181818182</v>
      </c>
      <c r="F409" s="673">
        <f t="shared" si="18"/>
        <v>637567.18560606427</v>
      </c>
      <c r="G409" s="1263">
        <f t="shared" si="20"/>
        <v>237432.34321763218</v>
      </c>
      <c r="H409" s="1266">
        <f t="shared" si="21"/>
        <v>237432.34321763218</v>
      </c>
      <c r="I409" s="724">
        <f t="shared" si="22"/>
        <v>0</v>
      </c>
      <c r="J409" s="724"/>
      <c r="K409" s="869"/>
      <c r="L409" s="729"/>
      <c r="M409" s="869"/>
      <c r="N409" s="729"/>
      <c r="O409" s="729"/>
    </row>
    <row r="410" spans="3:15">
      <c r="C410" s="720">
        <f>IF(D364="","-",+C409+1)</f>
        <v>2053</v>
      </c>
      <c r="D410" s="673">
        <f t="shared" si="19"/>
        <v>637567.18560606427</v>
      </c>
      <c r="E410" s="726">
        <f t="shared" si="23"/>
        <v>129674.68181818182</v>
      </c>
      <c r="F410" s="673">
        <f t="shared" si="18"/>
        <v>507892.50378788245</v>
      </c>
      <c r="G410" s="1263">
        <f t="shared" si="20"/>
        <v>217538.62111311837</v>
      </c>
      <c r="H410" s="1266">
        <f t="shared" si="21"/>
        <v>217538.62111311837</v>
      </c>
      <c r="I410" s="724">
        <f t="shared" si="22"/>
        <v>0</v>
      </c>
      <c r="J410" s="724"/>
      <c r="K410" s="869"/>
      <c r="L410" s="729"/>
      <c r="M410" s="869"/>
      <c r="N410" s="729"/>
      <c r="O410" s="729"/>
    </row>
    <row r="411" spans="3:15">
      <c r="C411" s="720">
        <f>IF(D364="","-",+C410+1)</f>
        <v>2054</v>
      </c>
      <c r="D411" s="673">
        <f t="shared" si="19"/>
        <v>507892.50378788245</v>
      </c>
      <c r="E411" s="726">
        <f t="shared" si="23"/>
        <v>129674.68181818182</v>
      </c>
      <c r="F411" s="673">
        <f t="shared" si="18"/>
        <v>378217.82196970063</v>
      </c>
      <c r="G411" s="1263">
        <f t="shared" si="20"/>
        <v>197644.89900860458</v>
      </c>
      <c r="H411" s="1266">
        <f t="shared" si="21"/>
        <v>197644.89900860458</v>
      </c>
      <c r="I411" s="724">
        <f t="shared" si="22"/>
        <v>0</v>
      </c>
      <c r="J411" s="724"/>
      <c r="K411" s="869"/>
      <c r="L411" s="729"/>
      <c r="M411" s="869"/>
      <c r="N411" s="729"/>
      <c r="O411" s="729"/>
    </row>
    <row r="412" spans="3:15">
      <c r="C412" s="720">
        <f>IF(D364="","-",+C411+1)</f>
        <v>2055</v>
      </c>
      <c r="D412" s="673">
        <f t="shared" si="19"/>
        <v>378217.82196970063</v>
      </c>
      <c r="E412" s="726">
        <f t="shared" si="23"/>
        <v>129674.68181818182</v>
      </c>
      <c r="F412" s="673">
        <f t="shared" si="18"/>
        <v>248543.1401515188</v>
      </c>
      <c r="G412" s="1263">
        <f t="shared" si="20"/>
        <v>177751.17690409074</v>
      </c>
      <c r="H412" s="1266">
        <f t="shared" si="21"/>
        <v>177751.17690409074</v>
      </c>
      <c r="I412" s="724">
        <f t="shared" si="22"/>
        <v>0</v>
      </c>
      <c r="J412" s="724"/>
      <c r="K412" s="869"/>
      <c r="L412" s="729"/>
      <c r="M412" s="869"/>
      <c r="N412" s="729"/>
      <c r="O412" s="729"/>
    </row>
    <row r="413" spans="3:15">
      <c r="C413" s="720">
        <f>IF(D364="","-",+C412+1)</f>
        <v>2056</v>
      </c>
      <c r="D413" s="673">
        <f t="shared" si="19"/>
        <v>248543.1401515188</v>
      </c>
      <c r="E413" s="726">
        <f t="shared" si="23"/>
        <v>129674.68181818182</v>
      </c>
      <c r="F413" s="673">
        <f t="shared" si="18"/>
        <v>118868.45833333698</v>
      </c>
      <c r="G413" s="1263">
        <f t="shared" si="20"/>
        <v>157857.45479957695</v>
      </c>
      <c r="H413" s="1266">
        <f t="shared" si="21"/>
        <v>157857.45479957695</v>
      </c>
      <c r="I413" s="724">
        <f t="shared" si="22"/>
        <v>0</v>
      </c>
      <c r="J413" s="724"/>
      <c r="K413" s="869"/>
      <c r="L413" s="729"/>
      <c r="M413" s="869"/>
      <c r="N413" s="729"/>
      <c r="O413" s="729"/>
    </row>
    <row r="414" spans="3:15">
      <c r="C414" s="720">
        <f>IF(D364="","-",+C413+1)</f>
        <v>2057</v>
      </c>
      <c r="D414" s="673">
        <f t="shared" si="19"/>
        <v>118868.45833333698</v>
      </c>
      <c r="E414" s="726">
        <f t="shared" si="23"/>
        <v>118868.45833333698</v>
      </c>
      <c r="F414" s="673">
        <f t="shared" si="18"/>
        <v>0</v>
      </c>
      <c r="G414" s="1263">
        <f t="shared" si="20"/>
        <v>127986.41429790609</v>
      </c>
      <c r="H414" s="1266">
        <f t="shared" si="21"/>
        <v>127986.41429790609</v>
      </c>
      <c r="I414" s="724">
        <f t="shared" si="22"/>
        <v>0</v>
      </c>
      <c r="J414" s="724"/>
      <c r="K414" s="869"/>
      <c r="L414" s="729"/>
      <c r="M414" s="869"/>
      <c r="N414" s="729"/>
      <c r="O414" s="729"/>
    </row>
    <row r="415" spans="3:15">
      <c r="C415" s="720">
        <f>IF(D364="","-",+C414+1)</f>
        <v>2058</v>
      </c>
      <c r="D415" s="673">
        <f t="shared" si="19"/>
        <v>0</v>
      </c>
      <c r="E415" s="726">
        <f t="shared" si="23"/>
        <v>0</v>
      </c>
      <c r="F415" s="673">
        <f t="shared" si="18"/>
        <v>0</v>
      </c>
      <c r="G415" s="1263">
        <f t="shared" si="20"/>
        <v>0</v>
      </c>
      <c r="H415" s="1266">
        <f t="shared" si="21"/>
        <v>0</v>
      </c>
      <c r="I415" s="724">
        <f t="shared" si="22"/>
        <v>0</v>
      </c>
      <c r="J415" s="724"/>
      <c r="K415" s="869"/>
      <c r="L415" s="729"/>
      <c r="M415" s="869"/>
      <c r="N415" s="729"/>
      <c r="O415" s="729"/>
    </row>
    <row r="416" spans="3:15">
      <c r="C416" s="720">
        <f>IF(D364="","-",+C415+1)</f>
        <v>2059</v>
      </c>
      <c r="D416" s="673">
        <f t="shared" si="19"/>
        <v>0</v>
      </c>
      <c r="E416" s="726">
        <f t="shared" si="23"/>
        <v>0</v>
      </c>
      <c r="F416" s="673">
        <f t="shared" si="18"/>
        <v>0</v>
      </c>
      <c r="G416" s="1263">
        <f t="shared" si="20"/>
        <v>0</v>
      </c>
      <c r="H416" s="1266">
        <f t="shared" si="21"/>
        <v>0</v>
      </c>
      <c r="I416" s="724">
        <f t="shared" si="22"/>
        <v>0</v>
      </c>
      <c r="J416" s="724"/>
      <c r="K416" s="869"/>
      <c r="L416" s="729"/>
      <c r="M416" s="869"/>
      <c r="N416" s="729"/>
      <c r="O416" s="729"/>
    </row>
    <row r="417" spans="3:15">
      <c r="C417" s="720">
        <f>IF(D364="","-",+C416+1)</f>
        <v>2060</v>
      </c>
      <c r="D417" s="673">
        <f t="shared" si="19"/>
        <v>0</v>
      </c>
      <c r="E417" s="726">
        <f t="shared" si="23"/>
        <v>0</v>
      </c>
      <c r="F417" s="673">
        <f t="shared" si="18"/>
        <v>0</v>
      </c>
      <c r="G417" s="1263">
        <f t="shared" si="20"/>
        <v>0</v>
      </c>
      <c r="H417" s="1266">
        <f t="shared" si="21"/>
        <v>0</v>
      </c>
      <c r="I417" s="724">
        <f t="shared" si="22"/>
        <v>0</v>
      </c>
      <c r="J417" s="724"/>
      <c r="K417" s="869"/>
      <c r="L417" s="729"/>
      <c r="M417" s="869"/>
      <c r="N417" s="729"/>
      <c r="O417" s="729"/>
    </row>
    <row r="418" spans="3:15">
      <c r="C418" s="720">
        <f>IF(D364="","-",+C417+1)</f>
        <v>2061</v>
      </c>
      <c r="D418" s="673">
        <f t="shared" si="19"/>
        <v>0</v>
      </c>
      <c r="E418" s="726">
        <f t="shared" si="23"/>
        <v>0</v>
      </c>
      <c r="F418" s="673">
        <f t="shared" si="18"/>
        <v>0</v>
      </c>
      <c r="G418" s="1263">
        <f t="shared" si="20"/>
        <v>0</v>
      </c>
      <c r="H418" s="1266">
        <f t="shared" si="21"/>
        <v>0</v>
      </c>
      <c r="I418" s="724">
        <f t="shared" si="22"/>
        <v>0</v>
      </c>
      <c r="J418" s="724"/>
      <c r="K418" s="869"/>
      <c r="L418" s="729"/>
      <c r="M418" s="869"/>
      <c r="N418" s="729"/>
      <c r="O418" s="729"/>
    </row>
    <row r="419" spans="3:15">
      <c r="C419" s="720">
        <f>IF(D364="","-",+C418+1)</f>
        <v>2062</v>
      </c>
      <c r="D419" s="673">
        <f t="shared" si="19"/>
        <v>0</v>
      </c>
      <c r="E419" s="726">
        <f t="shared" si="23"/>
        <v>0</v>
      </c>
      <c r="F419" s="673">
        <f t="shared" si="18"/>
        <v>0</v>
      </c>
      <c r="G419" s="1263">
        <f t="shared" si="20"/>
        <v>0</v>
      </c>
      <c r="H419" s="1266">
        <f t="shared" si="21"/>
        <v>0</v>
      </c>
      <c r="I419" s="724">
        <f t="shared" si="22"/>
        <v>0</v>
      </c>
      <c r="J419" s="724"/>
      <c r="K419" s="869"/>
      <c r="L419" s="729"/>
      <c r="M419" s="869"/>
      <c r="N419" s="729"/>
      <c r="O419" s="729"/>
    </row>
    <row r="420" spans="3:15">
      <c r="C420" s="720">
        <f>IF(D364="","-",+C419+1)</f>
        <v>2063</v>
      </c>
      <c r="D420" s="673">
        <f t="shared" si="19"/>
        <v>0</v>
      </c>
      <c r="E420" s="726">
        <f t="shared" si="23"/>
        <v>0</v>
      </c>
      <c r="F420" s="673">
        <f t="shared" si="18"/>
        <v>0</v>
      </c>
      <c r="G420" s="1263">
        <f t="shared" si="20"/>
        <v>0</v>
      </c>
      <c r="H420" s="1266">
        <f t="shared" si="21"/>
        <v>0</v>
      </c>
      <c r="I420" s="724">
        <f t="shared" si="22"/>
        <v>0</v>
      </c>
      <c r="J420" s="724"/>
      <c r="K420" s="869"/>
      <c r="L420" s="729"/>
      <c r="M420" s="869"/>
      <c r="N420" s="729"/>
      <c r="O420" s="729"/>
    </row>
    <row r="421" spans="3:15">
      <c r="C421" s="720">
        <f>IF(D364="","-",+C420+1)</f>
        <v>2064</v>
      </c>
      <c r="D421" s="673">
        <f t="shared" si="19"/>
        <v>0</v>
      </c>
      <c r="E421" s="726">
        <f t="shared" si="23"/>
        <v>0</v>
      </c>
      <c r="F421" s="673">
        <f t="shared" si="18"/>
        <v>0</v>
      </c>
      <c r="G421" s="1263">
        <f t="shared" si="20"/>
        <v>0</v>
      </c>
      <c r="H421" s="1266">
        <f t="shared" si="21"/>
        <v>0</v>
      </c>
      <c r="I421" s="724">
        <f t="shared" si="22"/>
        <v>0</v>
      </c>
      <c r="J421" s="724"/>
      <c r="K421" s="869"/>
      <c r="L421" s="729"/>
      <c r="M421" s="869"/>
      <c r="N421" s="729"/>
      <c r="O421" s="729"/>
    </row>
    <row r="422" spans="3:15">
      <c r="C422" s="720">
        <f>IF(D364="","-",+C421+1)</f>
        <v>2065</v>
      </c>
      <c r="D422" s="673">
        <f t="shared" si="19"/>
        <v>0</v>
      </c>
      <c r="E422" s="726">
        <f t="shared" si="23"/>
        <v>0</v>
      </c>
      <c r="F422" s="673">
        <f t="shared" si="18"/>
        <v>0</v>
      </c>
      <c r="G422" s="1263">
        <f t="shared" si="20"/>
        <v>0</v>
      </c>
      <c r="H422" s="1266">
        <f t="shared" si="21"/>
        <v>0</v>
      </c>
      <c r="I422" s="724">
        <f t="shared" si="22"/>
        <v>0</v>
      </c>
      <c r="J422" s="724"/>
      <c r="K422" s="869"/>
      <c r="L422" s="729"/>
      <c r="M422" s="869"/>
      <c r="N422" s="729"/>
      <c r="O422" s="729"/>
    </row>
    <row r="423" spans="3:15">
      <c r="C423" s="720">
        <f>IF(D364="","-",+C422+1)</f>
        <v>2066</v>
      </c>
      <c r="D423" s="673">
        <f t="shared" si="19"/>
        <v>0</v>
      </c>
      <c r="E423" s="726">
        <f t="shared" si="23"/>
        <v>0</v>
      </c>
      <c r="F423" s="673">
        <f t="shared" si="18"/>
        <v>0</v>
      </c>
      <c r="G423" s="1263">
        <f t="shared" si="20"/>
        <v>0</v>
      </c>
      <c r="H423" s="1266">
        <f t="shared" si="21"/>
        <v>0</v>
      </c>
      <c r="I423" s="724">
        <f t="shared" si="22"/>
        <v>0</v>
      </c>
      <c r="J423" s="724"/>
      <c r="K423" s="869"/>
      <c r="L423" s="729"/>
      <c r="M423" s="869"/>
      <c r="N423" s="729"/>
      <c r="O423" s="729"/>
    </row>
    <row r="424" spans="3:15">
      <c r="C424" s="720">
        <f>IF(D364="","-",+C423+1)</f>
        <v>2067</v>
      </c>
      <c r="D424" s="673">
        <f t="shared" si="19"/>
        <v>0</v>
      </c>
      <c r="E424" s="726">
        <f t="shared" si="23"/>
        <v>0</v>
      </c>
      <c r="F424" s="673">
        <f t="shared" si="18"/>
        <v>0</v>
      </c>
      <c r="G424" s="1263">
        <f t="shared" si="20"/>
        <v>0</v>
      </c>
      <c r="H424" s="1266">
        <f t="shared" si="21"/>
        <v>0</v>
      </c>
      <c r="I424" s="724">
        <f t="shared" si="22"/>
        <v>0</v>
      </c>
      <c r="J424" s="724"/>
      <c r="K424" s="869"/>
      <c r="L424" s="729"/>
      <c r="M424" s="869"/>
      <c r="N424" s="729"/>
      <c r="O424" s="729"/>
    </row>
    <row r="425" spans="3:15">
      <c r="C425" s="720">
        <f>IF(D364="","-",+C424+1)</f>
        <v>2068</v>
      </c>
      <c r="D425" s="673">
        <f t="shared" si="19"/>
        <v>0</v>
      </c>
      <c r="E425" s="726">
        <f t="shared" si="23"/>
        <v>0</v>
      </c>
      <c r="F425" s="673">
        <f t="shared" si="18"/>
        <v>0</v>
      </c>
      <c r="G425" s="1263">
        <f t="shared" si="20"/>
        <v>0</v>
      </c>
      <c r="H425" s="1266">
        <f t="shared" si="21"/>
        <v>0</v>
      </c>
      <c r="I425" s="724">
        <f t="shared" si="22"/>
        <v>0</v>
      </c>
      <c r="J425" s="724"/>
      <c r="K425" s="869"/>
      <c r="L425" s="729"/>
      <c r="M425" s="869"/>
      <c r="N425" s="729"/>
      <c r="O425" s="729"/>
    </row>
    <row r="426" spans="3:15">
      <c r="C426" s="720">
        <f>IF(D364="","-",+C425+1)</f>
        <v>2069</v>
      </c>
      <c r="D426" s="673">
        <f t="shared" si="19"/>
        <v>0</v>
      </c>
      <c r="E426" s="726">
        <f t="shared" si="23"/>
        <v>0</v>
      </c>
      <c r="F426" s="673">
        <f t="shared" si="18"/>
        <v>0</v>
      </c>
      <c r="G426" s="1263">
        <f t="shared" si="20"/>
        <v>0</v>
      </c>
      <c r="H426" s="1266">
        <f t="shared" si="21"/>
        <v>0</v>
      </c>
      <c r="I426" s="724">
        <f t="shared" si="22"/>
        <v>0</v>
      </c>
      <c r="J426" s="724"/>
      <c r="K426" s="869"/>
      <c r="L426" s="729"/>
      <c r="M426" s="869"/>
      <c r="N426" s="729"/>
      <c r="O426" s="729"/>
    </row>
    <row r="427" spans="3:15">
      <c r="C427" s="720">
        <f>IF(D364="","-",+C426+1)</f>
        <v>2070</v>
      </c>
      <c r="D427" s="673">
        <f t="shared" si="19"/>
        <v>0</v>
      </c>
      <c r="E427" s="726">
        <f t="shared" si="23"/>
        <v>0</v>
      </c>
      <c r="F427" s="673">
        <f t="shared" si="18"/>
        <v>0</v>
      </c>
      <c r="G427" s="1263">
        <f t="shared" si="20"/>
        <v>0</v>
      </c>
      <c r="H427" s="1266">
        <f t="shared" si="21"/>
        <v>0</v>
      </c>
      <c r="I427" s="724">
        <f t="shared" si="22"/>
        <v>0</v>
      </c>
      <c r="J427" s="724"/>
      <c r="K427" s="869"/>
      <c r="L427" s="729"/>
      <c r="M427" s="869"/>
      <c r="N427" s="729"/>
      <c r="O427" s="729"/>
    </row>
    <row r="428" spans="3:15">
      <c r="C428" s="720">
        <f>IF(D364="","-",+C427+1)</f>
        <v>2071</v>
      </c>
      <c r="D428" s="673">
        <f t="shared" si="19"/>
        <v>0</v>
      </c>
      <c r="E428" s="726">
        <f t="shared" si="23"/>
        <v>0</v>
      </c>
      <c r="F428" s="673">
        <f t="shared" si="18"/>
        <v>0</v>
      </c>
      <c r="G428" s="1263">
        <f t="shared" si="20"/>
        <v>0</v>
      </c>
      <c r="H428" s="1266">
        <f t="shared" si="21"/>
        <v>0</v>
      </c>
      <c r="I428" s="724">
        <f t="shared" si="22"/>
        <v>0</v>
      </c>
      <c r="J428" s="724"/>
      <c r="K428" s="869"/>
      <c r="L428" s="729"/>
      <c r="M428" s="869"/>
      <c r="N428" s="729"/>
      <c r="O428" s="729"/>
    </row>
    <row r="429" spans="3:15" ht="13.5" thickBot="1">
      <c r="C429" s="730">
        <f>IF(D364="","-",+C428+1)</f>
        <v>2072</v>
      </c>
      <c r="D429" s="731">
        <f t="shared" si="19"/>
        <v>0</v>
      </c>
      <c r="E429" s="732">
        <f t="shared" si="23"/>
        <v>0</v>
      </c>
      <c r="F429" s="731">
        <f t="shared" si="18"/>
        <v>0</v>
      </c>
      <c r="G429" s="1274">
        <f t="shared" si="20"/>
        <v>0</v>
      </c>
      <c r="H429" s="1274">
        <f t="shared" si="21"/>
        <v>0</v>
      </c>
      <c r="I429" s="734">
        <f t="shared" si="22"/>
        <v>0</v>
      </c>
      <c r="J429" s="724"/>
      <c r="K429" s="870"/>
      <c r="L429" s="736"/>
      <c r="M429" s="870"/>
      <c r="N429" s="736"/>
      <c r="O429" s="736"/>
    </row>
    <row r="430" spans="3:15">
      <c r="C430" s="673" t="s">
        <v>288</v>
      </c>
      <c r="D430" s="1242"/>
      <c r="E430" s="673"/>
      <c r="F430" s="1242"/>
      <c r="G430" s="1242">
        <f>SUM(G370:G429)</f>
        <v>25765189.122051451</v>
      </c>
      <c r="H430" s="1242">
        <f>SUM(H370:H429)</f>
        <v>25765189.122051451</v>
      </c>
      <c r="I430" s="1242">
        <f>SUM(I370:I429)</f>
        <v>0</v>
      </c>
      <c r="J430" s="1242"/>
      <c r="K430" s="1242"/>
      <c r="L430" s="1242"/>
      <c r="M430" s="1242"/>
      <c r="N430" s="1242"/>
      <c r="O430" s="542"/>
    </row>
    <row r="431" spans="3:15">
      <c r="D431" s="563"/>
      <c r="E431" s="542"/>
      <c r="F431" s="542"/>
      <c r="G431" s="542"/>
      <c r="H431" s="1241"/>
      <c r="I431" s="1241"/>
      <c r="J431" s="1242"/>
      <c r="K431" s="1241"/>
      <c r="L431" s="1241"/>
      <c r="M431" s="1241"/>
      <c r="N431" s="1241"/>
      <c r="O431" s="542"/>
    </row>
    <row r="432" spans="3:15">
      <c r="C432" s="542" t="s">
        <v>595</v>
      </c>
      <c r="D432" s="563"/>
      <c r="E432" s="542"/>
      <c r="F432" s="542"/>
      <c r="G432" s="542"/>
      <c r="H432" s="1241"/>
      <c r="I432" s="1241"/>
      <c r="J432" s="1242"/>
      <c r="K432" s="1241"/>
      <c r="L432" s="1241"/>
      <c r="M432" s="1241"/>
      <c r="N432" s="1241"/>
      <c r="O432" s="542"/>
    </row>
    <row r="433" spans="1:16">
      <c r="C433" s="542"/>
      <c r="D433" s="563"/>
      <c r="E433" s="542"/>
      <c r="F433" s="542"/>
      <c r="G433" s="542"/>
      <c r="H433" s="1241"/>
      <c r="I433" s="1241"/>
      <c r="J433" s="1242"/>
      <c r="K433" s="1241"/>
      <c r="L433" s="1241"/>
      <c r="M433" s="1241"/>
      <c r="N433" s="1241"/>
      <c r="O433" s="542"/>
    </row>
    <row r="434" spans="1:16">
      <c r="C434" s="684" t="s">
        <v>934</v>
      </c>
      <c r="D434" s="673"/>
      <c r="E434" s="673"/>
      <c r="F434" s="673"/>
      <c r="G434" s="1242"/>
      <c r="H434" s="1242"/>
      <c r="I434" s="674"/>
      <c r="J434" s="674"/>
      <c r="K434" s="674"/>
      <c r="L434" s="674"/>
      <c r="M434" s="674"/>
      <c r="N434" s="674"/>
      <c r="O434" s="542"/>
    </row>
    <row r="435" spans="1:16">
      <c r="C435" s="684" t="s">
        <v>476</v>
      </c>
      <c r="D435" s="673"/>
      <c r="E435" s="673"/>
      <c r="F435" s="673"/>
      <c r="G435" s="1242"/>
      <c r="H435" s="1242"/>
      <c r="I435" s="674"/>
      <c r="J435" s="674"/>
      <c r="K435" s="674"/>
      <c r="L435" s="674"/>
      <c r="M435" s="674"/>
      <c r="N435" s="674"/>
      <c r="O435" s="542"/>
    </row>
    <row r="436" spans="1:16">
      <c r="C436" s="672" t="s">
        <v>289</v>
      </c>
      <c r="D436" s="673"/>
      <c r="E436" s="673"/>
      <c r="F436" s="673"/>
      <c r="G436" s="1242"/>
      <c r="H436" s="1242"/>
      <c r="I436" s="674"/>
      <c r="J436" s="674"/>
      <c r="K436" s="674"/>
      <c r="L436" s="674"/>
      <c r="M436" s="674"/>
      <c r="N436" s="674"/>
      <c r="O436" s="542"/>
    </row>
    <row r="437" spans="1:16">
      <c r="C437" s="672"/>
      <c r="D437" s="673"/>
      <c r="E437" s="673"/>
      <c r="F437" s="673"/>
      <c r="G437" s="1242"/>
      <c r="H437" s="1242"/>
      <c r="I437" s="674"/>
      <c r="J437" s="674"/>
      <c r="K437" s="674"/>
      <c r="L437" s="674"/>
      <c r="M437" s="674"/>
      <c r="N437" s="674"/>
      <c r="O437" s="542"/>
    </row>
    <row r="438" spans="1:16">
      <c r="C438" s="1701" t="s">
        <v>460</v>
      </c>
      <c r="D438" s="1701"/>
      <c r="E438" s="1701"/>
      <c r="F438" s="1701"/>
      <c r="G438" s="1701"/>
      <c r="H438" s="1701"/>
      <c r="I438" s="1701"/>
      <c r="J438" s="1701"/>
      <c r="K438" s="1701"/>
      <c r="L438" s="1701"/>
      <c r="M438" s="1701"/>
      <c r="N438" s="1701"/>
      <c r="O438" s="1701"/>
    </row>
    <row r="439" spans="1:16">
      <c r="C439" s="1701"/>
      <c r="D439" s="1701"/>
      <c r="E439" s="1701"/>
      <c r="F439" s="1701"/>
      <c r="G439" s="1701"/>
      <c r="H439" s="1701"/>
      <c r="I439" s="1701"/>
      <c r="J439" s="1701"/>
      <c r="K439" s="1701"/>
      <c r="L439" s="1701"/>
      <c r="M439" s="1701"/>
      <c r="N439" s="1701"/>
      <c r="O439" s="1701"/>
    </row>
    <row r="440" spans="1:16" ht="20.25">
      <c r="A440" s="675" t="s">
        <v>931</v>
      </c>
      <c r="B440" s="576"/>
      <c r="C440" s="655"/>
      <c r="D440" s="563"/>
      <c r="E440" s="542"/>
      <c r="F440" s="645"/>
      <c r="G440" s="542"/>
      <c r="H440" s="1241"/>
      <c r="K440" s="676"/>
      <c r="L440" s="676"/>
      <c r="M440" s="676"/>
      <c r="N440" s="591" t="str">
        <f>"Page "&amp;SUM(P$6:P440)&amp;" of "</f>
        <v xml:space="preserve">Page 5 of </v>
      </c>
      <c r="O440" s="592">
        <f>COUNT(P$6:P$59579)</f>
        <v>22</v>
      </c>
      <c r="P440" s="542">
        <v>1</v>
      </c>
    </row>
    <row r="441" spans="1:16">
      <c r="B441" s="576"/>
      <c r="C441" s="542"/>
      <c r="D441" s="563"/>
      <c r="E441" s="542"/>
      <c r="F441" s="542"/>
      <c r="G441" s="542"/>
      <c r="H441" s="1241"/>
      <c r="I441" s="542"/>
      <c r="J441" s="588"/>
      <c r="K441" s="542"/>
      <c r="L441" s="542"/>
      <c r="M441" s="542"/>
      <c r="N441" s="542"/>
      <c r="O441" s="542"/>
    </row>
    <row r="442" spans="1:16" ht="18">
      <c r="B442" s="595" t="s">
        <v>174</v>
      </c>
      <c r="C442" s="677" t="s">
        <v>290</v>
      </c>
      <c r="D442" s="563"/>
      <c r="E442" s="542"/>
      <c r="F442" s="542"/>
      <c r="G442" s="542"/>
      <c r="H442" s="1241"/>
      <c r="I442" s="1241"/>
      <c r="J442" s="1242"/>
      <c r="K442" s="1241"/>
      <c r="L442" s="1241"/>
      <c r="M442" s="1241"/>
      <c r="N442" s="1241"/>
      <c r="O442" s="542"/>
    </row>
    <row r="443" spans="1:16" ht="18.75">
      <c r="B443" s="595"/>
      <c r="C443" s="594"/>
      <c r="D443" s="563"/>
      <c r="E443" s="542"/>
      <c r="F443" s="542"/>
      <c r="G443" s="542"/>
      <c r="H443" s="1241"/>
      <c r="I443" s="1241"/>
      <c r="J443" s="1242"/>
      <c r="K443" s="1241"/>
      <c r="L443" s="1241"/>
      <c r="M443" s="1241"/>
      <c r="N443" s="1241"/>
      <c r="O443" s="542"/>
    </row>
    <row r="444" spans="1:16" ht="18.75">
      <c r="B444" s="595"/>
      <c r="C444" s="594" t="s">
        <v>291</v>
      </c>
      <c r="D444" s="563"/>
      <c r="E444" s="542"/>
      <c r="F444" s="542"/>
      <c r="G444" s="542"/>
      <c r="H444" s="1241"/>
      <c r="I444" s="1241"/>
      <c r="J444" s="1242"/>
      <c r="K444" s="1241"/>
      <c r="L444" s="1241"/>
      <c r="M444" s="1241"/>
      <c r="N444" s="1241"/>
      <c r="O444" s="542"/>
    </row>
    <row r="445" spans="1:16" ht="15.75" thickBot="1">
      <c r="C445" s="396"/>
      <c r="D445" s="563"/>
      <c r="E445" s="542"/>
      <c r="F445" s="542"/>
      <c r="G445" s="542"/>
      <c r="H445" s="1241"/>
      <c r="I445" s="1241"/>
      <c r="J445" s="1242"/>
      <c r="K445" s="1241"/>
      <c r="L445" s="1241"/>
      <c r="M445" s="1241"/>
      <c r="N445" s="1241"/>
      <c r="O445" s="542"/>
    </row>
    <row r="446" spans="1:16" ht="15.75">
      <c r="C446" s="596" t="s">
        <v>292</v>
      </c>
      <c r="D446" s="563"/>
      <c r="E446" s="542"/>
      <c r="F446" s="542"/>
      <c r="G446" s="1276"/>
      <c r="H446" s="542" t="s">
        <v>271</v>
      </c>
      <c r="I446" s="542"/>
      <c r="J446" s="588"/>
      <c r="K446" s="678" t="s">
        <v>296</v>
      </c>
      <c r="L446" s="679"/>
      <c r="M446" s="680"/>
      <c r="N446" s="1244">
        <f>VLOOKUP(I452,C459:O518,5)</f>
        <v>335171.96324414772</v>
      </c>
      <c r="O446" s="542"/>
    </row>
    <row r="447" spans="1:16" ht="15.75">
      <c r="C447" s="596"/>
      <c r="D447" s="563"/>
      <c r="E447" s="542"/>
      <c r="F447" s="542"/>
      <c r="G447" s="542"/>
      <c r="H447" s="1245"/>
      <c r="I447" s="1245"/>
      <c r="J447" s="1246"/>
      <c r="K447" s="683" t="s">
        <v>297</v>
      </c>
      <c r="L447" s="1247"/>
      <c r="M447" s="588"/>
      <c r="N447" s="1248">
        <f>VLOOKUP(I452,C459:O518,6)</f>
        <v>335171.96324414772</v>
      </c>
      <c r="O447" s="542"/>
    </row>
    <row r="448" spans="1:16" ht="13.5" thickBot="1">
      <c r="C448" s="684" t="s">
        <v>293</v>
      </c>
      <c r="D448" s="1711" t="s">
        <v>938</v>
      </c>
      <c r="E448" s="1711"/>
      <c r="F448" s="1711"/>
      <c r="G448" s="1711"/>
      <c r="H448" s="1711"/>
      <c r="I448" s="1711"/>
      <c r="J448" s="1242"/>
      <c r="K448" s="1249" t="s">
        <v>450</v>
      </c>
      <c r="L448" s="1250"/>
      <c r="M448" s="1250"/>
      <c r="N448" s="1251">
        <f>+N447-N446</f>
        <v>0</v>
      </c>
      <c r="O448" s="542"/>
    </row>
    <row r="449" spans="1:15">
      <c r="C449" s="686"/>
      <c r="D449" s="687"/>
      <c r="E449" s="671"/>
      <c r="F449" s="671"/>
      <c r="G449" s="688"/>
      <c r="H449" s="1241"/>
      <c r="I449" s="1241"/>
      <c r="J449" s="1242"/>
      <c r="K449" s="1241"/>
      <c r="L449" s="1241"/>
      <c r="M449" s="1241"/>
      <c r="N449" s="1241"/>
      <c r="O449" s="542"/>
    </row>
    <row r="450" spans="1:15" ht="13.5" thickBot="1">
      <c r="C450" s="689"/>
      <c r="D450" s="1252"/>
      <c r="E450" s="688"/>
      <c r="F450" s="688"/>
      <c r="G450" s="688"/>
      <c r="H450" s="688"/>
      <c r="I450" s="688"/>
      <c r="J450" s="691"/>
      <c r="K450" s="688"/>
      <c r="L450" s="688"/>
      <c r="M450" s="688"/>
      <c r="N450" s="688"/>
      <c r="O450" s="576"/>
    </row>
    <row r="451" spans="1:15" ht="13.5" thickBot="1">
      <c r="C451" s="692" t="s">
        <v>294</v>
      </c>
      <c r="D451" s="693"/>
      <c r="E451" s="693"/>
      <c r="F451" s="693"/>
      <c r="G451" s="693"/>
      <c r="H451" s="693"/>
      <c r="I451" s="694"/>
      <c r="J451" s="695"/>
      <c r="K451" s="542"/>
      <c r="L451" s="542"/>
      <c r="M451" s="542"/>
      <c r="N451" s="542"/>
      <c r="O451" s="696"/>
    </row>
    <row r="452" spans="1:15" ht="15">
      <c r="C452" s="697" t="s">
        <v>272</v>
      </c>
      <c r="D452" s="1253">
        <v>2088951</v>
      </c>
      <c r="E452" s="655" t="s">
        <v>273</v>
      </c>
      <c r="G452" s="698"/>
      <c r="H452" s="698"/>
      <c r="I452" s="699">
        <v>2018</v>
      </c>
      <c r="J452" s="586"/>
      <c r="K452" s="1702" t="s">
        <v>459</v>
      </c>
      <c r="L452" s="1702"/>
      <c r="M452" s="1702"/>
      <c r="N452" s="1702"/>
      <c r="O452" s="1702"/>
    </row>
    <row r="453" spans="1:15">
      <c r="C453" s="697" t="s">
        <v>275</v>
      </c>
      <c r="D453" s="873">
        <v>2013</v>
      </c>
      <c r="E453" s="697" t="s">
        <v>276</v>
      </c>
      <c r="F453" s="698"/>
      <c r="H453" s="330"/>
      <c r="I453" s="1254">
        <f>IF(G446="",0,$F$15)</f>
        <v>0</v>
      </c>
      <c r="J453" s="700"/>
      <c r="K453" s="1242" t="s">
        <v>459</v>
      </c>
    </row>
    <row r="454" spans="1:15">
      <c r="C454" s="697" t="s">
        <v>277</v>
      </c>
      <c r="D454" s="1280">
        <v>12</v>
      </c>
      <c r="E454" s="697" t="s">
        <v>278</v>
      </c>
      <c r="F454" s="698"/>
      <c r="H454" s="330"/>
      <c r="I454" s="701">
        <f>$G$70</f>
        <v>0.15341253840442806</v>
      </c>
      <c r="J454" s="702"/>
      <c r="K454" s="330" t="str">
        <f>"          INPUT PROJECTED ARR (WITH &amp; WITHOUT INCENTIVES) FROM EACH PRIOR YEAR"</f>
        <v xml:space="preserve">          INPUT PROJECTED ARR (WITH &amp; WITHOUT INCENTIVES) FROM EACH PRIOR YEAR</v>
      </c>
    </row>
    <row r="455" spans="1:15">
      <c r="C455" s="697" t="s">
        <v>279</v>
      </c>
      <c r="D455" s="703">
        <f>G$79</f>
        <v>44</v>
      </c>
      <c r="E455" s="697" t="s">
        <v>280</v>
      </c>
      <c r="F455" s="698"/>
      <c r="H455" s="330"/>
      <c r="I455" s="701">
        <f>IF(G446="",I454,$G$67)</f>
        <v>0.15341253840442806</v>
      </c>
      <c r="J455" s="704"/>
      <c r="K455" s="330" t="s">
        <v>357</v>
      </c>
    </row>
    <row r="456" spans="1:15" ht="13.5" thickBot="1">
      <c r="C456" s="697" t="s">
        <v>281</v>
      </c>
      <c r="D456" s="866" t="s">
        <v>933</v>
      </c>
      <c r="E456" s="705" t="s">
        <v>282</v>
      </c>
      <c r="F456" s="706"/>
      <c r="G456" s="707"/>
      <c r="H456" s="707"/>
      <c r="I456" s="1251">
        <f>IF(D452=0,0,D452/D455)</f>
        <v>47476.159090909088</v>
      </c>
      <c r="J456" s="1242"/>
      <c r="K456" s="1242" t="s">
        <v>363</v>
      </c>
      <c r="L456" s="1242"/>
      <c r="M456" s="1242"/>
      <c r="N456" s="1242"/>
      <c r="O456" s="588"/>
    </row>
    <row r="457" spans="1:15" ht="51">
      <c r="A457" s="529"/>
      <c r="B457" s="1255"/>
      <c r="C457" s="708" t="s">
        <v>272</v>
      </c>
      <c r="D457" s="1256" t="s">
        <v>283</v>
      </c>
      <c r="E457" s="1257" t="s">
        <v>284</v>
      </c>
      <c r="F457" s="1256" t="s">
        <v>285</v>
      </c>
      <c r="G457" s="1257" t="s">
        <v>356</v>
      </c>
      <c r="H457" s="1258" t="s">
        <v>356</v>
      </c>
      <c r="I457" s="708" t="s">
        <v>295</v>
      </c>
      <c r="J457" s="712"/>
      <c r="K457" s="1257" t="s">
        <v>365</v>
      </c>
      <c r="L457" s="1259"/>
      <c r="M457" s="1257" t="s">
        <v>365</v>
      </c>
      <c r="N457" s="1259"/>
      <c r="O457" s="1259"/>
    </row>
    <row r="458" spans="1:15" ht="13.5" thickBot="1">
      <c r="C458" s="714" t="s">
        <v>177</v>
      </c>
      <c r="D458" s="715" t="s">
        <v>178</v>
      </c>
      <c r="E458" s="714" t="s">
        <v>37</v>
      </c>
      <c r="F458" s="715" t="s">
        <v>178</v>
      </c>
      <c r="G458" s="1260" t="s">
        <v>298</v>
      </c>
      <c r="H458" s="1261" t="s">
        <v>300</v>
      </c>
      <c r="I458" s="718" t="s">
        <v>389</v>
      </c>
      <c r="J458" s="719"/>
      <c r="K458" s="1260" t="s">
        <v>287</v>
      </c>
      <c r="L458" s="1262"/>
      <c r="M458" s="1260" t="s">
        <v>300</v>
      </c>
      <c r="N458" s="1262"/>
      <c r="O458" s="1262"/>
    </row>
    <row r="459" spans="1:15">
      <c r="C459" s="720">
        <f>IF(D453= "","-",D453)</f>
        <v>2013</v>
      </c>
      <c r="D459" s="673">
        <f>+D452</f>
        <v>2088951</v>
      </c>
      <c r="E459" s="1263">
        <f>+I456/12*(12-D454)</f>
        <v>0</v>
      </c>
      <c r="F459" s="673">
        <f t="shared" ref="F459:F518" si="24">+D459-E459</f>
        <v>2088951</v>
      </c>
      <c r="G459" s="1264">
        <f>+$I$454*((D459+F459)/2)+E459</f>
        <v>320471.27551246842</v>
      </c>
      <c r="H459" s="1265">
        <f>$I$455*((D459+F459)/2)+E459</f>
        <v>320471.27551246842</v>
      </c>
      <c r="I459" s="724">
        <f>+H459-G459</f>
        <v>0</v>
      </c>
      <c r="J459" s="724"/>
      <c r="K459" s="1277">
        <v>424916</v>
      </c>
      <c r="L459" s="725"/>
      <c r="M459" s="1277">
        <v>424916</v>
      </c>
      <c r="N459" s="725"/>
      <c r="O459" s="725"/>
    </row>
    <row r="460" spans="1:15">
      <c r="C460" s="720">
        <f>IF(D453="","-",+C459+1)</f>
        <v>2014</v>
      </c>
      <c r="D460" s="673">
        <f t="shared" ref="D460:D518" si="25">F459</f>
        <v>2088951</v>
      </c>
      <c r="E460" s="726">
        <f>IF(D460&gt;$I$456,$I$456,D460)</f>
        <v>47476.159090909088</v>
      </c>
      <c r="F460" s="673">
        <f t="shared" si="24"/>
        <v>2041474.8409090908</v>
      </c>
      <c r="G460" s="1263">
        <f t="shared" ref="G460:G518" si="26">+$I$454*((D460+F460)/2)+E460</f>
        <v>364305.71556346305</v>
      </c>
      <c r="H460" s="1266">
        <f t="shared" ref="H460:H518" si="27">$I$455*((D460+F460)/2)+E460</f>
        <v>364305.71556346305</v>
      </c>
      <c r="I460" s="724">
        <f t="shared" ref="I460:I518" si="28">+H460-G460</f>
        <v>0</v>
      </c>
      <c r="J460" s="724"/>
      <c r="K460" s="869">
        <v>372954</v>
      </c>
      <c r="L460" s="729"/>
      <c r="M460" s="869">
        <v>372954</v>
      </c>
      <c r="N460" s="729"/>
      <c r="O460" s="729"/>
    </row>
    <row r="461" spans="1:15">
      <c r="C461" s="720">
        <f>IF(D453="","-",+C460+1)</f>
        <v>2015</v>
      </c>
      <c r="D461" s="673">
        <f t="shared" si="25"/>
        <v>2041474.8409090908</v>
      </c>
      <c r="E461" s="726">
        <f t="shared" ref="E461:E518" si="29">IF(D461&gt;$I$456,$I$456,D461)</f>
        <v>47476.159090909088</v>
      </c>
      <c r="F461" s="673">
        <f t="shared" si="24"/>
        <v>1993998.6818181816</v>
      </c>
      <c r="G461" s="1263">
        <f t="shared" si="26"/>
        <v>357022.27748363419</v>
      </c>
      <c r="H461" s="1266">
        <f t="shared" si="27"/>
        <v>357022.27748363419</v>
      </c>
      <c r="I461" s="724">
        <f t="shared" si="28"/>
        <v>0</v>
      </c>
      <c r="J461" s="724"/>
      <c r="K461" s="869">
        <v>375622</v>
      </c>
      <c r="L461" s="729"/>
      <c r="M461" s="869">
        <v>375622</v>
      </c>
      <c r="N461" s="729"/>
      <c r="O461" s="729"/>
    </row>
    <row r="462" spans="1:15">
      <c r="C462" s="720">
        <f>IF(D453="","-",+C461+1)</f>
        <v>2016</v>
      </c>
      <c r="D462" s="673">
        <f t="shared" si="25"/>
        <v>1993998.6818181816</v>
      </c>
      <c r="E462" s="726">
        <f t="shared" si="29"/>
        <v>47476.159090909088</v>
      </c>
      <c r="F462" s="673">
        <f t="shared" si="24"/>
        <v>1946522.5227272725</v>
      </c>
      <c r="G462" s="1263">
        <f t="shared" si="26"/>
        <v>349738.83940380544</v>
      </c>
      <c r="H462" s="1266">
        <f t="shared" si="27"/>
        <v>349738.83940380544</v>
      </c>
      <c r="I462" s="724">
        <f t="shared" si="28"/>
        <v>0</v>
      </c>
      <c r="J462" s="724"/>
      <c r="K462" s="869">
        <v>363235</v>
      </c>
      <c r="L462" s="729"/>
      <c r="M462" s="869">
        <v>363235</v>
      </c>
      <c r="N462" s="729"/>
      <c r="O462" s="729"/>
    </row>
    <row r="463" spans="1:15">
      <c r="C463" s="720">
        <f>IF(D453="","-",+C462+1)</f>
        <v>2017</v>
      </c>
      <c r="D463" s="673">
        <f t="shared" si="25"/>
        <v>1946522.5227272725</v>
      </c>
      <c r="E463" s="726">
        <f t="shared" si="29"/>
        <v>47476.159090909088</v>
      </c>
      <c r="F463" s="673">
        <f t="shared" si="24"/>
        <v>1899046.3636363633</v>
      </c>
      <c r="G463" s="1263">
        <f t="shared" si="26"/>
        <v>342455.40132397658</v>
      </c>
      <c r="H463" s="1266">
        <f t="shared" si="27"/>
        <v>342455.40132397658</v>
      </c>
      <c r="I463" s="724">
        <f t="shared" si="28"/>
        <v>0</v>
      </c>
      <c r="J463" s="724"/>
      <c r="K463" s="869">
        <v>367158</v>
      </c>
      <c r="L463" s="729"/>
      <c r="M463" s="869">
        <v>367158</v>
      </c>
      <c r="N463" s="729"/>
      <c r="O463" s="729"/>
    </row>
    <row r="464" spans="1:15">
      <c r="C464" s="1268">
        <f>IF(D453="","-",+C463+1)</f>
        <v>2018</v>
      </c>
      <c r="D464" s="1269">
        <f t="shared" si="25"/>
        <v>1899046.3636363633</v>
      </c>
      <c r="E464" s="1270">
        <f t="shared" si="29"/>
        <v>47476.159090909088</v>
      </c>
      <c r="F464" s="1269">
        <f t="shared" si="24"/>
        <v>1851570.2045454541</v>
      </c>
      <c r="G464" s="1271">
        <f t="shared" si="26"/>
        <v>335171.96324414772</v>
      </c>
      <c r="H464" s="1272">
        <f t="shared" si="27"/>
        <v>335171.96324414772</v>
      </c>
      <c r="I464" s="1273">
        <f t="shared" si="28"/>
        <v>0</v>
      </c>
      <c r="J464" s="724"/>
      <c r="K464" s="869"/>
      <c r="L464" s="729"/>
      <c r="M464" s="869"/>
      <c r="N464" s="729"/>
      <c r="O464" s="729"/>
    </row>
    <row r="465" spans="3:15">
      <c r="C465" s="720">
        <f>IF(D453="","-",+C464+1)</f>
        <v>2019</v>
      </c>
      <c r="D465" s="673">
        <f t="shared" si="25"/>
        <v>1851570.2045454541</v>
      </c>
      <c r="E465" s="726">
        <f t="shared" si="29"/>
        <v>47476.159090909088</v>
      </c>
      <c r="F465" s="673">
        <f t="shared" si="24"/>
        <v>1804094.0454545449</v>
      </c>
      <c r="G465" s="1263">
        <f t="shared" si="26"/>
        <v>327888.52516431885</v>
      </c>
      <c r="H465" s="1266">
        <f t="shared" si="27"/>
        <v>327888.52516431885</v>
      </c>
      <c r="I465" s="724">
        <f t="shared" si="28"/>
        <v>0</v>
      </c>
      <c r="J465" s="724"/>
      <c r="K465" s="869"/>
      <c r="L465" s="729"/>
      <c r="M465" s="869"/>
      <c r="N465" s="729"/>
      <c r="O465" s="729"/>
    </row>
    <row r="466" spans="3:15">
      <c r="C466" s="720">
        <f>IF(D453="","-",+C465+1)</f>
        <v>2020</v>
      </c>
      <c r="D466" s="673">
        <f t="shared" si="25"/>
        <v>1804094.0454545449</v>
      </c>
      <c r="E466" s="726">
        <f t="shared" si="29"/>
        <v>47476.159090909088</v>
      </c>
      <c r="F466" s="673">
        <f t="shared" si="24"/>
        <v>1756617.8863636358</v>
      </c>
      <c r="G466" s="1263">
        <f t="shared" si="26"/>
        <v>320605.08708448999</v>
      </c>
      <c r="H466" s="1266">
        <f t="shared" si="27"/>
        <v>320605.08708448999</v>
      </c>
      <c r="I466" s="724">
        <f t="shared" si="28"/>
        <v>0</v>
      </c>
      <c r="J466" s="724"/>
      <c r="K466" s="869"/>
      <c r="L466" s="729"/>
      <c r="M466" s="869"/>
      <c r="N466" s="729"/>
      <c r="O466" s="729"/>
    </row>
    <row r="467" spans="3:15">
      <c r="C467" s="720">
        <f>IF(D453="","-",+C466+1)</f>
        <v>2021</v>
      </c>
      <c r="D467" s="673">
        <f t="shared" si="25"/>
        <v>1756617.8863636358</v>
      </c>
      <c r="E467" s="726">
        <f t="shared" si="29"/>
        <v>47476.159090909088</v>
      </c>
      <c r="F467" s="673">
        <f t="shared" si="24"/>
        <v>1709141.7272727266</v>
      </c>
      <c r="G467" s="1263">
        <f t="shared" si="26"/>
        <v>313321.64900466125</v>
      </c>
      <c r="H467" s="1266">
        <f t="shared" si="27"/>
        <v>313321.64900466125</v>
      </c>
      <c r="I467" s="724">
        <f t="shared" si="28"/>
        <v>0</v>
      </c>
      <c r="J467" s="724"/>
      <c r="K467" s="869"/>
      <c r="L467" s="729"/>
      <c r="M467" s="869"/>
      <c r="N467" s="729"/>
      <c r="O467" s="729"/>
    </row>
    <row r="468" spans="3:15">
      <c r="C468" s="720">
        <f>IF(D453="","-",+C467+1)</f>
        <v>2022</v>
      </c>
      <c r="D468" s="673">
        <f t="shared" si="25"/>
        <v>1709141.7272727266</v>
      </c>
      <c r="E468" s="726">
        <f t="shared" si="29"/>
        <v>47476.159090909088</v>
      </c>
      <c r="F468" s="673">
        <f t="shared" si="24"/>
        <v>1661665.5681818174</v>
      </c>
      <c r="G468" s="1263">
        <f t="shared" si="26"/>
        <v>306038.21092483238</v>
      </c>
      <c r="H468" s="1266">
        <f t="shared" si="27"/>
        <v>306038.21092483238</v>
      </c>
      <c r="I468" s="724">
        <f t="shared" si="28"/>
        <v>0</v>
      </c>
      <c r="J468" s="724"/>
      <c r="K468" s="869"/>
      <c r="L468" s="729"/>
      <c r="M468" s="869"/>
      <c r="N468" s="729"/>
      <c r="O468" s="729"/>
    </row>
    <row r="469" spans="3:15">
      <c r="C469" s="720">
        <f>IF(D453="","-",+C468+1)</f>
        <v>2023</v>
      </c>
      <c r="D469" s="673">
        <f t="shared" si="25"/>
        <v>1661665.5681818174</v>
      </c>
      <c r="E469" s="726">
        <f t="shared" si="29"/>
        <v>47476.159090909088</v>
      </c>
      <c r="F469" s="673">
        <f t="shared" si="24"/>
        <v>1614189.4090909082</v>
      </c>
      <c r="G469" s="1263">
        <f t="shared" si="26"/>
        <v>298754.77284500352</v>
      </c>
      <c r="H469" s="1266">
        <f t="shared" si="27"/>
        <v>298754.77284500352</v>
      </c>
      <c r="I469" s="724">
        <f t="shared" si="28"/>
        <v>0</v>
      </c>
      <c r="J469" s="724"/>
      <c r="K469" s="869"/>
      <c r="L469" s="729"/>
      <c r="M469" s="869"/>
      <c r="N469" s="729"/>
      <c r="O469" s="729"/>
    </row>
    <row r="470" spans="3:15">
      <c r="C470" s="720">
        <f>IF(D453="","-",+C469+1)</f>
        <v>2024</v>
      </c>
      <c r="D470" s="673">
        <f t="shared" si="25"/>
        <v>1614189.4090909082</v>
      </c>
      <c r="E470" s="726">
        <f t="shared" si="29"/>
        <v>47476.159090909088</v>
      </c>
      <c r="F470" s="673">
        <f t="shared" si="24"/>
        <v>1566713.2499999991</v>
      </c>
      <c r="G470" s="1263">
        <f t="shared" si="26"/>
        <v>291471.33476517466</v>
      </c>
      <c r="H470" s="1266">
        <f t="shared" si="27"/>
        <v>291471.33476517466</v>
      </c>
      <c r="I470" s="724">
        <f t="shared" si="28"/>
        <v>0</v>
      </c>
      <c r="J470" s="724"/>
      <c r="K470" s="869"/>
      <c r="L470" s="729"/>
      <c r="M470" s="869"/>
      <c r="N470" s="729"/>
      <c r="O470" s="729"/>
    </row>
    <row r="471" spans="3:15">
      <c r="C471" s="720">
        <f>IF(D453="","-",+C470+1)</f>
        <v>2025</v>
      </c>
      <c r="D471" s="673">
        <f t="shared" si="25"/>
        <v>1566713.2499999991</v>
      </c>
      <c r="E471" s="726">
        <f t="shared" si="29"/>
        <v>47476.159090909088</v>
      </c>
      <c r="F471" s="673">
        <f t="shared" si="24"/>
        <v>1519237.0909090899</v>
      </c>
      <c r="G471" s="1263">
        <f t="shared" si="26"/>
        <v>284187.8966853458</v>
      </c>
      <c r="H471" s="1266">
        <f t="shared" si="27"/>
        <v>284187.8966853458</v>
      </c>
      <c r="I471" s="724">
        <f t="shared" si="28"/>
        <v>0</v>
      </c>
      <c r="J471" s="724"/>
      <c r="K471" s="869"/>
      <c r="L471" s="729"/>
      <c r="M471" s="869"/>
      <c r="N471" s="729"/>
      <c r="O471" s="729"/>
    </row>
    <row r="472" spans="3:15">
      <c r="C472" s="720">
        <f>IF(D453="","-",+C471+1)</f>
        <v>2026</v>
      </c>
      <c r="D472" s="673">
        <f t="shared" si="25"/>
        <v>1519237.0909090899</v>
      </c>
      <c r="E472" s="726">
        <f t="shared" si="29"/>
        <v>47476.159090909088</v>
      </c>
      <c r="F472" s="673">
        <f t="shared" si="24"/>
        <v>1471760.9318181807</v>
      </c>
      <c r="G472" s="1263">
        <f t="shared" si="26"/>
        <v>276904.45860551699</v>
      </c>
      <c r="H472" s="1266">
        <f t="shared" si="27"/>
        <v>276904.45860551699</v>
      </c>
      <c r="I472" s="724">
        <f t="shared" si="28"/>
        <v>0</v>
      </c>
      <c r="J472" s="724"/>
      <c r="K472" s="869"/>
      <c r="L472" s="729"/>
      <c r="M472" s="869"/>
      <c r="N472" s="729"/>
      <c r="O472" s="729"/>
    </row>
    <row r="473" spans="3:15">
      <c r="C473" s="720">
        <f>IF(D453="","-",+C472+1)</f>
        <v>2027</v>
      </c>
      <c r="D473" s="673">
        <f t="shared" si="25"/>
        <v>1471760.9318181807</v>
      </c>
      <c r="E473" s="726">
        <f t="shared" si="29"/>
        <v>47476.159090909088</v>
      </c>
      <c r="F473" s="673">
        <f t="shared" si="24"/>
        <v>1424284.7727272715</v>
      </c>
      <c r="G473" s="1263">
        <f t="shared" si="26"/>
        <v>269621.02052568819</v>
      </c>
      <c r="H473" s="1266">
        <f t="shared" si="27"/>
        <v>269621.02052568819</v>
      </c>
      <c r="I473" s="724">
        <f t="shared" si="28"/>
        <v>0</v>
      </c>
      <c r="J473" s="724"/>
      <c r="K473" s="869"/>
      <c r="L473" s="729"/>
      <c r="M473" s="869"/>
      <c r="N473" s="729"/>
      <c r="O473" s="729"/>
    </row>
    <row r="474" spans="3:15">
      <c r="C474" s="720">
        <f>IF(D453="","-",+C473+1)</f>
        <v>2028</v>
      </c>
      <c r="D474" s="673">
        <f t="shared" si="25"/>
        <v>1424284.7727272715</v>
      </c>
      <c r="E474" s="726">
        <f t="shared" si="29"/>
        <v>47476.159090909088</v>
      </c>
      <c r="F474" s="673">
        <f t="shared" si="24"/>
        <v>1376808.6136363624</v>
      </c>
      <c r="G474" s="1263">
        <f t="shared" si="26"/>
        <v>262337.58244585933</v>
      </c>
      <c r="H474" s="1266">
        <f t="shared" si="27"/>
        <v>262337.58244585933</v>
      </c>
      <c r="I474" s="724">
        <f t="shared" si="28"/>
        <v>0</v>
      </c>
      <c r="J474" s="724"/>
      <c r="K474" s="869"/>
      <c r="L474" s="729"/>
      <c r="M474" s="869"/>
      <c r="N474" s="729"/>
      <c r="O474" s="729"/>
    </row>
    <row r="475" spans="3:15">
      <c r="C475" s="720">
        <f>IF(D453="","-",+C474+1)</f>
        <v>2029</v>
      </c>
      <c r="D475" s="673">
        <f t="shared" si="25"/>
        <v>1376808.6136363624</v>
      </c>
      <c r="E475" s="726">
        <f t="shared" si="29"/>
        <v>47476.159090909088</v>
      </c>
      <c r="F475" s="673">
        <f t="shared" si="24"/>
        <v>1329332.4545454532</v>
      </c>
      <c r="G475" s="1263">
        <f t="shared" si="26"/>
        <v>255054.14436603046</v>
      </c>
      <c r="H475" s="1266">
        <f t="shared" si="27"/>
        <v>255054.14436603046</v>
      </c>
      <c r="I475" s="724">
        <f t="shared" si="28"/>
        <v>0</v>
      </c>
      <c r="J475" s="724"/>
      <c r="K475" s="869"/>
      <c r="L475" s="729"/>
      <c r="M475" s="869"/>
      <c r="N475" s="729"/>
      <c r="O475" s="729"/>
    </row>
    <row r="476" spans="3:15">
      <c r="C476" s="720">
        <f>IF(D453="","-",+C475+1)</f>
        <v>2030</v>
      </c>
      <c r="D476" s="673">
        <f t="shared" si="25"/>
        <v>1329332.4545454532</v>
      </c>
      <c r="E476" s="726">
        <f t="shared" si="29"/>
        <v>47476.159090909088</v>
      </c>
      <c r="F476" s="673">
        <f t="shared" si="24"/>
        <v>1281856.295454544</v>
      </c>
      <c r="G476" s="1263">
        <f t="shared" si="26"/>
        <v>247770.70628620163</v>
      </c>
      <c r="H476" s="1266">
        <f t="shared" si="27"/>
        <v>247770.70628620163</v>
      </c>
      <c r="I476" s="724">
        <f t="shared" si="28"/>
        <v>0</v>
      </c>
      <c r="J476" s="724"/>
      <c r="K476" s="869"/>
      <c r="L476" s="729"/>
      <c r="M476" s="869"/>
      <c r="N476" s="729"/>
      <c r="O476" s="729"/>
    </row>
    <row r="477" spans="3:15">
      <c r="C477" s="720">
        <f>IF(D453="","-",+C476+1)</f>
        <v>2031</v>
      </c>
      <c r="D477" s="673">
        <f t="shared" si="25"/>
        <v>1281856.295454544</v>
      </c>
      <c r="E477" s="726">
        <f t="shared" si="29"/>
        <v>47476.159090909088</v>
      </c>
      <c r="F477" s="673">
        <f t="shared" si="24"/>
        <v>1234380.1363636348</v>
      </c>
      <c r="G477" s="1263">
        <f t="shared" si="26"/>
        <v>240487.2682063728</v>
      </c>
      <c r="H477" s="1266">
        <f t="shared" si="27"/>
        <v>240487.2682063728</v>
      </c>
      <c r="I477" s="724">
        <f t="shared" si="28"/>
        <v>0</v>
      </c>
      <c r="J477" s="724"/>
      <c r="K477" s="869"/>
      <c r="L477" s="729"/>
      <c r="M477" s="869"/>
      <c r="N477" s="729"/>
      <c r="O477" s="729"/>
    </row>
    <row r="478" spans="3:15">
      <c r="C478" s="720">
        <f>IF(D453="","-",+C477+1)</f>
        <v>2032</v>
      </c>
      <c r="D478" s="673">
        <f t="shared" si="25"/>
        <v>1234380.1363636348</v>
      </c>
      <c r="E478" s="726">
        <f t="shared" si="29"/>
        <v>47476.159090909088</v>
      </c>
      <c r="F478" s="673">
        <f t="shared" si="24"/>
        <v>1186903.9772727257</v>
      </c>
      <c r="G478" s="1263">
        <f t="shared" si="26"/>
        <v>233203.83012654394</v>
      </c>
      <c r="H478" s="1266">
        <f t="shared" si="27"/>
        <v>233203.83012654394</v>
      </c>
      <c r="I478" s="724">
        <f t="shared" si="28"/>
        <v>0</v>
      </c>
      <c r="J478" s="724"/>
      <c r="K478" s="869"/>
      <c r="L478" s="729"/>
      <c r="M478" s="869"/>
      <c r="N478" s="729"/>
      <c r="O478" s="729"/>
    </row>
    <row r="479" spans="3:15">
      <c r="C479" s="720">
        <f>IF(D453="","-",+C478+1)</f>
        <v>2033</v>
      </c>
      <c r="D479" s="673">
        <f t="shared" si="25"/>
        <v>1186903.9772727257</v>
      </c>
      <c r="E479" s="726">
        <f t="shared" si="29"/>
        <v>47476.159090909088</v>
      </c>
      <c r="F479" s="673">
        <f t="shared" si="24"/>
        <v>1139427.8181818165</v>
      </c>
      <c r="G479" s="1263">
        <f t="shared" si="26"/>
        <v>225920.3920467151</v>
      </c>
      <c r="H479" s="1266">
        <f t="shared" si="27"/>
        <v>225920.3920467151</v>
      </c>
      <c r="I479" s="724">
        <f t="shared" si="28"/>
        <v>0</v>
      </c>
      <c r="J479" s="724"/>
      <c r="K479" s="869"/>
      <c r="L479" s="729"/>
      <c r="M479" s="869"/>
      <c r="N479" s="729"/>
      <c r="O479" s="729"/>
    </row>
    <row r="480" spans="3:15">
      <c r="C480" s="720">
        <f>IF(D453="","-",+C479+1)</f>
        <v>2034</v>
      </c>
      <c r="D480" s="673">
        <f t="shared" si="25"/>
        <v>1139427.8181818165</v>
      </c>
      <c r="E480" s="726">
        <f t="shared" si="29"/>
        <v>47476.159090909088</v>
      </c>
      <c r="F480" s="673">
        <f t="shared" si="24"/>
        <v>1091951.6590909073</v>
      </c>
      <c r="G480" s="1263">
        <f t="shared" si="26"/>
        <v>218636.95396688627</v>
      </c>
      <c r="H480" s="1266">
        <f t="shared" si="27"/>
        <v>218636.95396688627</v>
      </c>
      <c r="I480" s="724">
        <f t="shared" si="28"/>
        <v>0</v>
      </c>
      <c r="J480" s="724"/>
      <c r="K480" s="869"/>
      <c r="L480" s="729"/>
      <c r="M480" s="869"/>
      <c r="N480" s="729"/>
      <c r="O480" s="729"/>
    </row>
    <row r="481" spans="3:15">
      <c r="C481" s="720">
        <f>IF(D453="","-",+C480+1)</f>
        <v>2035</v>
      </c>
      <c r="D481" s="673">
        <f t="shared" si="25"/>
        <v>1091951.6590909073</v>
      </c>
      <c r="E481" s="726">
        <f t="shared" si="29"/>
        <v>47476.159090909088</v>
      </c>
      <c r="F481" s="673">
        <f t="shared" si="24"/>
        <v>1044475.4999999983</v>
      </c>
      <c r="G481" s="1263">
        <f t="shared" si="26"/>
        <v>211353.51588705744</v>
      </c>
      <c r="H481" s="1266">
        <f t="shared" si="27"/>
        <v>211353.51588705744</v>
      </c>
      <c r="I481" s="724">
        <f t="shared" si="28"/>
        <v>0</v>
      </c>
      <c r="J481" s="724"/>
      <c r="K481" s="869"/>
      <c r="L481" s="729"/>
      <c r="M481" s="869"/>
      <c r="N481" s="729"/>
      <c r="O481" s="729"/>
    </row>
    <row r="482" spans="3:15">
      <c r="C482" s="720">
        <f>IF(D453="","-",+C481+1)</f>
        <v>2036</v>
      </c>
      <c r="D482" s="673">
        <f t="shared" si="25"/>
        <v>1044475.4999999983</v>
      </c>
      <c r="E482" s="726">
        <f t="shared" si="29"/>
        <v>47476.159090909088</v>
      </c>
      <c r="F482" s="673">
        <f t="shared" si="24"/>
        <v>996999.34090908919</v>
      </c>
      <c r="G482" s="1263">
        <f t="shared" si="26"/>
        <v>204070.07780722863</v>
      </c>
      <c r="H482" s="1266">
        <f t="shared" si="27"/>
        <v>204070.07780722863</v>
      </c>
      <c r="I482" s="724">
        <f t="shared" si="28"/>
        <v>0</v>
      </c>
      <c r="J482" s="724"/>
      <c r="K482" s="869"/>
      <c r="L482" s="729"/>
      <c r="M482" s="869"/>
      <c r="N482" s="729"/>
      <c r="O482" s="729"/>
    </row>
    <row r="483" spans="3:15">
      <c r="C483" s="720">
        <f>IF(D453="","-",+C482+1)</f>
        <v>2037</v>
      </c>
      <c r="D483" s="673">
        <f t="shared" si="25"/>
        <v>996999.34090908919</v>
      </c>
      <c r="E483" s="726">
        <f t="shared" si="29"/>
        <v>47476.159090909088</v>
      </c>
      <c r="F483" s="673">
        <f t="shared" si="24"/>
        <v>949523.18181818014</v>
      </c>
      <c r="G483" s="1263">
        <f t="shared" si="26"/>
        <v>196786.63972739977</v>
      </c>
      <c r="H483" s="1266">
        <f t="shared" si="27"/>
        <v>196786.63972739977</v>
      </c>
      <c r="I483" s="724">
        <f t="shared" si="28"/>
        <v>0</v>
      </c>
      <c r="J483" s="724"/>
      <c r="K483" s="869"/>
      <c r="L483" s="729"/>
      <c r="M483" s="869"/>
      <c r="N483" s="729"/>
      <c r="O483" s="729"/>
    </row>
    <row r="484" spans="3:15">
      <c r="C484" s="720">
        <f>IF(D453="","-",+C483+1)</f>
        <v>2038</v>
      </c>
      <c r="D484" s="673">
        <f t="shared" si="25"/>
        <v>949523.18181818014</v>
      </c>
      <c r="E484" s="726">
        <f t="shared" si="29"/>
        <v>47476.159090909088</v>
      </c>
      <c r="F484" s="673">
        <f t="shared" si="24"/>
        <v>902047.02272727108</v>
      </c>
      <c r="G484" s="1263">
        <f t="shared" si="26"/>
        <v>189503.20164757097</v>
      </c>
      <c r="H484" s="1266">
        <f t="shared" si="27"/>
        <v>189503.20164757097</v>
      </c>
      <c r="I484" s="724">
        <f t="shared" si="28"/>
        <v>0</v>
      </c>
      <c r="J484" s="724"/>
      <c r="K484" s="869"/>
      <c r="L484" s="729"/>
      <c r="M484" s="869"/>
      <c r="N484" s="729"/>
      <c r="O484" s="729"/>
    </row>
    <row r="485" spans="3:15">
      <c r="C485" s="720">
        <f>IF(D453="","-",+C484+1)</f>
        <v>2039</v>
      </c>
      <c r="D485" s="673">
        <f t="shared" si="25"/>
        <v>902047.02272727108</v>
      </c>
      <c r="E485" s="726">
        <f t="shared" si="29"/>
        <v>47476.159090909088</v>
      </c>
      <c r="F485" s="673">
        <f t="shared" si="24"/>
        <v>854570.86363636202</v>
      </c>
      <c r="G485" s="1263">
        <f t="shared" si="26"/>
        <v>182219.76356774213</v>
      </c>
      <c r="H485" s="1266">
        <f t="shared" si="27"/>
        <v>182219.76356774213</v>
      </c>
      <c r="I485" s="724">
        <f t="shared" si="28"/>
        <v>0</v>
      </c>
      <c r="J485" s="724"/>
      <c r="K485" s="869"/>
      <c r="L485" s="729"/>
      <c r="M485" s="869"/>
      <c r="N485" s="729"/>
      <c r="O485" s="729"/>
    </row>
    <row r="486" spans="3:15">
      <c r="C486" s="720">
        <f>IF(D453="","-",+C485+1)</f>
        <v>2040</v>
      </c>
      <c r="D486" s="673">
        <f t="shared" si="25"/>
        <v>854570.86363636202</v>
      </c>
      <c r="E486" s="726">
        <f t="shared" si="29"/>
        <v>47476.159090909088</v>
      </c>
      <c r="F486" s="673">
        <f t="shared" si="24"/>
        <v>807094.70454545296</v>
      </c>
      <c r="G486" s="1263">
        <f t="shared" si="26"/>
        <v>174936.32548791333</v>
      </c>
      <c r="H486" s="1266">
        <f t="shared" si="27"/>
        <v>174936.32548791333</v>
      </c>
      <c r="I486" s="724">
        <f t="shared" si="28"/>
        <v>0</v>
      </c>
      <c r="J486" s="724"/>
      <c r="K486" s="869"/>
      <c r="L486" s="729"/>
      <c r="M486" s="869"/>
      <c r="N486" s="729"/>
      <c r="O486" s="729"/>
    </row>
    <row r="487" spans="3:15">
      <c r="C487" s="720">
        <f>IF(D453="","-",+C486+1)</f>
        <v>2041</v>
      </c>
      <c r="D487" s="673">
        <f t="shared" si="25"/>
        <v>807094.70454545296</v>
      </c>
      <c r="E487" s="726">
        <f t="shared" si="29"/>
        <v>47476.159090909088</v>
      </c>
      <c r="F487" s="673">
        <f t="shared" si="24"/>
        <v>759618.5454545439</v>
      </c>
      <c r="G487" s="1264">
        <f t="shared" si="26"/>
        <v>167652.88740808447</v>
      </c>
      <c r="H487" s="1266">
        <f t="shared" si="27"/>
        <v>167652.88740808447</v>
      </c>
      <c r="I487" s="724">
        <f t="shared" si="28"/>
        <v>0</v>
      </c>
      <c r="J487" s="724"/>
      <c r="K487" s="869"/>
      <c r="L487" s="729"/>
      <c r="M487" s="869"/>
      <c r="N487" s="729"/>
      <c r="O487" s="729"/>
    </row>
    <row r="488" spans="3:15">
      <c r="C488" s="720">
        <f>IF(D453="","-",+C487+1)</f>
        <v>2042</v>
      </c>
      <c r="D488" s="673">
        <f t="shared" si="25"/>
        <v>759618.5454545439</v>
      </c>
      <c r="E488" s="726">
        <f t="shared" si="29"/>
        <v>47476.159090909088</v>
      </c>
      <c r="F488" s="673">
        <f t="shared" si="24"/>
        <v>712142.38636363484</v>
      </c>
      <c r="G488" s="1263">
        <f t="shared" si="26"/>
        <v>160369.44932825567</v>
      </c>
      <c r="H488" s="1266">
        <f t="shared" si="27"/>
        <v>160369.44932825567</v>
      </c>
      <c r="I488" s="724">
        <f t="shared" si="28"/>
        <v>0</v>
      </c>
      <c r="J488" s="724"/>
      <c r="K488" s="869"/>
      <c r="L488" s="729"/>
      <c r="M488" s="869"/>
      <c r="N488" s="729"/>
      <c r="O488" s="729"/>
    </row>
    <row r="489" spans="3:15">
      <c r="C489" s="720">
        <f>IF(D453="","-",+C488+1)</f>
        <v>2043</v>
      </c>
      <c r="D489" s="673">
        <f t="shared" si="25"/>
        <v>712142.38636363484</v>
      </c>
      <c r="E489" s="726">
        <f t="shared" si="29"/>
        <v>47476.159090909088</v>
      </c>
      <c r="F489" s="673">
        <f t="shared" si="24"/>
        <v>664666.22727272578</v>
      </c>
      <c r="G489" s="1263">
        <f t="shared" si="26"/>
        <v>153086.01124842686</v>
      </c>
      <c r="H489" s="1266">
        <f t="shared" si="27"/>
        <v>153086.01124842686</v>
      </c>
      <c r="I489" s="724">
        <f t="shared" si="28"/>
        <v>0</v>
      </c>
      <c r="J489" s="724"/>
      <c r="K489" s="869"/>
      <c r="L489" s="729"/>
      <c r="M489" s="869"/>
      <c r="N489" s="729"/>
      <c r="O489" s="729"/>
    </row>
    <row r="490" spans="3:15">
      <c r="C490" s="720">
        <f>IF(D453="","-",+C489+1)</f>
        <v>2044</v>
      </c>
      <c r="D490" s="673">
        <f t="shared" si="25"/>
        <v>664666.22727272578</v>
      </c>
      <c r="E490" s="726">
        <f t="shared" si="29"/>
        <v>47476.159090909088</v>
      </c>
      <c r="F490" s="673">
        <f t="shared" si="24"/>
        <v>617190.06818181672</v>
      </c>
      <c r="G490" s="1263">
        <f t="shared" si="26"/>
        <v>145802.57316859806</v>
      </c>
      <c r="H490" s="1266">
        <f t="shared" si="27"/>
        <v>145802.57316859806</v>
      </c>
      <c r="I490" s="724">
        <f t="shared" si="28"/>
        <v>0</v>
      </c>
      <c r="J490" s="724"/>
      <c r="K490" s="869"/>
      <c r="L490" s="729"/>
      <c r="M490" s="869"/>
      <c r="N490" s="729"/>
      <c r="O490" s="729"/>
    </row>
    <row r="491" spans="3:15">
      <c r="C491" s="720">
        <f>IF(D453="","-",+C490+1)</f>
        <v>2045</v>
      </c>
      <c r="D491" s="673">
        <f t="shared" si="25"/>
        <v>617190.06818181672</v>
      </c>
      <c r="E491" s="726">
        <f t="shared" si="29"/>
        <v>47476.159090909088</v>
      </c>
      <c r="F491" s="673">
        <f t="shared" si="24"/>
        <v>569713.90909090766</v>
      </c>
      <c r="G491" s="1263">
        <f t="shared" si="26"/>
        <v>138519.1350887692</v>
      </c>
      <c r="H491" s="1266">
        <f t="shared" si="27"/>
        <v>138519.1350887692</v>
      </c>
      <c r="I491" s="724">
        <f t="shared" si="28"/>
        <v>0</v>
      </c>
      <c r="J491" s="724"/>
      <c r="K491" s="869"/>
      <c r="L491" s="729"/>
      <c r="M491" s="869"/>
      <c r="N491" s="729"/>
      <c r="O491" s="729"/>
    </row>
    <row r="492" spans="3:15">
      <c r="C492" s="720">
        <f>IF(D453="","-",+C491+1)</f>
        <v>2046</v>
      </c>
      <c r="D492" s="673">
        <f t="shared" si="25"/>
        <v>569713.90909090766</v>
      </c>
      <c r="E492" s="726">
        <f t="shared" si="29"/>
        <v>47476.159090909088</v>
      </c>
      <c r="F492" s="673">
        <f t="shared" si="24"/>
        <v>522237.7499999986</v>
      </c>
      <c r="G492" s="1263">
        <f t="shared" si="26"/>
        <v>131235.69700894039</v>
      </c>
      <c r="H492" s="1266">
        <f t="shared" si="27"/>
        <v>131235.69700894039</v>
      </c>
      <c r="I492" s="724">
        <f t="shared" si="28"/>
        <v>0</v>
      </c>
      <c r="J492" s="724"/>
      <c r="K492" s="869"/>
      <c r="L492" s="729"/>
      <c r="M492" s="869"/>
      <c r="N492" s="729"/>
      <c r="O492" s="729"/>
    </row>
    <row r="493" spans="3:15">
      <c r="C493" s="720">
        <f>IF(D453="","-",+C492+1)</f>
        <v>2047</v>
      </c>
      <c r="D493" s="673">
        <f t="shared" si="25"/>
        <v>522237.7499999986</v>
      </c>
      <c r="E493" s="726">
        <f t="shared" si="29"/>
        <v>47476.159090909088</v>
      </c>
      <c r="F493" s="673">
        <f t="shared" si="24"/>
        <v>474761.59090908954</v>
      </c>
      <c r="G493" s="1263">
        <f t="shared" si="26"/>
        <v>123952.25892911156</v>
      </c>
      <c r="H493" s="1266">
        <f t="shared" si="27"/>
        <v>123952.25892911156</v>
      </c>
      <c r="I493" s="724">
        <f t="shared" si="28"/>
        <v>0</v>
      </c>
      <c r="J493" s="724"/>
      <c r="K493" s="869"/>
      <c r="L493" s="729"/>
      <c r="M493" s="869"/>
      <c r="N493" s="729"/>
      <c r="O493" s="729"/>
    </row>
    <row r="494" spans="3:15">
      <c r="C494" s="720">
        <f>IF(D453="","-",+C493+1)</f>
        <v>2048</v>
      </c>
      <c r="D494" s="673">
        <f t="shared" si="25"/>
        <v>474761.59090908954</v>
      </c>
      <c r="E494" s="726">
        <f t="shared" si="29"/>
        <v>47476.159090909088</v>
      </c>
      <c r="F494" s="673">
        <f t="shared" si="24"/>
        <v>427285.43181818048</v>
      </c>
      <c r="G494" s="1263">
        <f t="shared" si="26"/>
        <v>116668.82084928274</v>
      </c>
      <c r="H494" s="1266">
        <f t="shared" si="27"/>
        <v>116668.82084928274</v>
      </c>
      <c r="I494" s="724">
        <f t="shared" si="28"/>
        <v>0</v>
      </c>
      <c r="J494" s="724"/>
      <c r="K494" s="869"/>
      <c r="L494" s="729"/>
      <c r="M494" s="869"/>
      <c r="N494" s="729"/>
      <c r="O494" s="729"/>
    </row>
    <row r="495" spans="3:15">
      <c r="C495" s="720">
        <f>IF(D453="","-",+C494+1)</f>
        <v>2049</v>
      </c>
      <c r="D495" s="673">
        <f t="shared" si="25"/>
        <v>427285.43181818048</v>
      </c>
      <c r="E495" s="726">
        <f t="shared" si="29"/>
        <v>47476.159090909088</v>
      </c>
      <c r="F495" s="673">
        <f t="shared" si="24"/>
        <v>379809.27272727143</v>
      </c>
      <c r="G495" s="1263">
        <f t="shared" si="26"/>
        <v>109385.38276945392</v>
      </c>
      <c r="H495" s="1266">
        <f t="shared" si="27"/>
        <v>109385.38276945392</v>
      </c>
      <c r="I495" s="724">
        <f t="shared" si="28"/>
        <v>0</v>
      </c>
      <c r="J495" s="724"/>
      <c r="K495" s="869"/>
      <c r="L495" s="729"/>
      <c r="M495" s="869"/>
      <c r="N495" s="729"/>
      <c r="O495" s="729"/>
    </row>
    <row r="496" spans="3:15">
      <c r="C496" s="720">
        <f>IF(D453="","-",+C495+1)</f>
        <v>2050</v>
      </c>
      <c r="D496" s="673">
        <f t="shared" si="25"/>
        <v>379809.27272727143</v>
      </c>
      <c r="E496" s="726">
        <f t="shared" si="29"/>
        <v>47476.159090909088</v>
      </c>
      <c r="F496" s="673">
        <f t="shared" si="24"/>
        <v>332333.11363636237</v>
      </c>
      <c r="G496" s="1263">
        <f t="shared" si="26"/>
        <v>102101.94468962509</v>
      </c>
      <c r="H496" s="1266">
        <f t="shared" si="27"/>
        <v>102101.94468962509</v>
      </c>
      <c r="I496" s="724">
        <f t="shared" si="28"/>
        <v>0</v>
      </c>
      <c r="J496" s="724"/>
      <c r="K496" s="869"/>
      <c r="L496" s="729"/>
      <c r="M496" s="869"/>
      <c r="N496" s="729"/>
      <c r="O496" s="729"/>
    </row>
    <row r="497" spans="3:15">
      <c r="C497" s="720">
        <f>IF(D453="","-",+C496+1)</f>
        <v>2051</v>
      </c>
      <c r="D497" s="673">
        <f t="shared" si="25"/>
        <v>332333.11363636237</v>
      </c>
      <c r="E497" s="726">
        <f t="shared" si="29"/>
        <v>47476.159090909088</v>
      </c>
      <c r="F497" s="673">
        <f t="shared" si="24"/>
        <v>284856.95454545331</v>
      </c>
      <c r="G497" s="1263">
        <f t="shared" si="26"/>
        <v>94818.506609796284</v>
      </c>
      <c r="H497" s="1266">
        <f t="shared" si="27"/>
        <v>94818.506609796284</v>
      </c>
      <c r="I497" s="724">
        <f t="shared" si="28"/>
        <v>0</v>
      </c>
      <c r="J497" s="724"/>
      <c r="K497" s="869"/>
      <c r="L497" s="729"/>
      <c r="M497" s="869"/>
      <c r="N497" s="729"/>
      <c r="O497" s="729"/>
    </row>
    <row r="498" spans="3:15">
      <c r="C498" s="720">
        <f>IF(D453="","-",+C497+1)</f>
        <v>2052</v>
      </c>
      <c r="D498" s="673">
        <f t="shared" si="25"/>
        <v>284856.95454545331</v>
      </c>
      <c r="E498" s="726">
        <f t="shared" si="29"/>
        <v>47476.159090909088</v>
      </c>
      <c r="F498" s="673">
        <f t="shared" si="24"/>
        <v>237380.79545454422</v>
      </c>
      <c r="G498" s="1263">
        <f t="shared" si="26"/>
        <v>87535.068529967451</v>
      </c>
      <c r="H498" s="1266">
        <f t="shared" si="27"/>
        <v>87535.068529967451</v>
      </c>
      <c r="I498" s="724">
        <f t="shared" si="28"/>
        <v>0</v>
      </c>
      <c r="J498" s="724"/>
      <c r="K498" s="869"/>
      <c r="L498" s="729"/>
      <c r="M498" s="869"/>
      <c r="N498" s="729"/>
      <c r="O498" s="729"/>
    </row>
    <row r="499" spans="3:15">
      <c r="C499" s="720">
        <f>IF(D453="","-",+C498+1)</f>
        <v>2053</v>
      </c>
      <c r="D499" s="673">
        <f t="shared" si="25"/>
        <v>237380.79545454422</v>
      </c>
      <c r="E499" s="726">
        <f t="shared" si="29"/>
        <v>47476.159090909088</v>
      </c>
      <c r="F499" s="673">
        <f t="shared" si="24"/>
        <v>189904.63636363513</v>
      </c>
      <c r="G499" s="1263">
        <f t="shared" si="26"/>
        <v>80251.630450138618</v>
      </c>
      <c r="H499" s="1266">
        <f t="shared" si="27"/>
        <v>80251.630450138618</v>
      </c>
      <c r="I499" s="724">
        <f t="shared" si="28"/>
        <v>0</v>
      </c>
      <c r="J499" s="724"/>
      <c r="K499" s="869"/>
      <c r="L499" s="729"/>
      <c r="M499" s="869"/>
      <c r="N499" s="729"/>
      <c r="O499" s="729"/>
    </row>
    <row r="500" spans="3:15">
      <c r="C500" s="720">
        <f>IF(D453="","-",+C499+1)</f>
        <v>2054</v>
      </c>
      <c r="D500" s="673">
        <f t="shared" si="25"/>
        <v>189904.63636363513</v>
      </c>
      <c r="E500" s="726">
        <f t="shared" si="29"/>
        <v>47476.159090909088</v>
      </c>
      <c r="F500" s="673">
        <f t="shared" si="24"/>
        <v>142428.47727272604</v>
      </c>
      <c r="G500" s="1263">
        <f t="shared" si="26"/>
        <v>72968.1923703098</v>
      </c>
      <c r="H500" s="1266">
        <f t="shared" si="27"/>
        <v>72968.1923703098</v>
      </c>
      <c r="I500" s="724">
        <f t="shared" si="28"/>
        <v>0</v>
      </c>
      <c r="J500" s="724"/>
      <c r="K500" s="869"/>
      <c r="L500" s="729"/>
      <c r="M500" s="869"/>
      <c r="N500" s="729"/>
      <c r="O500" s="729"/>
    </row>
    <row r="501" spans="3:15">
      <c r="C501" s="720">
        <f>IF(D453="","-",+C500+1)</f>
        <v>2055</v>
      </c>
      <c r="D501" s="673">
        <f t="shared" si="25"/>
        <v>142428.47727272604</v>
      </c>
      <c r="E501" s="726">
        <f t="shared" si="29"/>
        <v>47476.159090909088</v>
      </c>
      <c r="F501" s="673">
        <f t="shared" si="24"/>
        <v>94952.318181816954</v>
      </c>
      <c r="G501" s="1263">
        <f t="shared" si="26"/>
        <v>65684.754290480967</v>
      </c>
      <c r="H501" s="1266">
        <f t="shared" si="27"/>
        <v>65684.754290480967</v>
      </c>
      <c r="I501" s="724">
        <f t="shared" si="28"/>
        <v>0</v>
      </c>
      <c r="J501" s="724"/>
      <c r="K501" s="869"/>
      <c r="L501" s="729"/>
      <c r="M501" s="869"/>
      <c r="N501" s="729"/>
      <c r="O501" s="729"/>
    </row>
    <row r="502" spans="3:15">
      <c r="C502" s="720">
        <f>IF(D453="","-",+C501+1)</f>
        <v>2056</v>
      </c>
      <c r="D502" s="673">
        <f t="shared" si="25"/>
        <v>94952.318181816954</v>
      </c>
      <c r="E502" s="726">
        <f t="shared" si="29"/>
        <v>47476.159090909088</v>
      </c>
      <c r="F502" s="673">
        <f t="shared" si="24"/>
        <v>47476.159090907866</v>
      </c>
      <c r="G502" s="1263">
        <f t="shared" si="26"/>
        <v>58401.316210652141</v>
      </c>
      <c r="H502" s="1266">
        <f t="shared" si="27"/>
        <v>58401.316210652141</v>
      </c>
      <c r="I502" s="724">
        <f t="shared" si="28"/>
        <v>0</v>
      </c>
      <c r="J502" s="724"/>
      <c r="K502" s="869"/>
      <c r="L502" s="729"/>
      <c r="M502" s="869"/>
      <c r="N502" s="729"/>
      <c r="O502" s="729"/>
    </row>
    <row r="503" spans="3:15">
      <c r="C503" s="720">
        <f>IF(D453="","-",+C502+1)</f>
        <v>2057</v>
      </c>
      <c r="D503" s="673">
        <f t="shared" si="25"/>
        <v>47476.159090907866</v>
      </c>
      <c r="E503" s="726">
        <f t="shared" si="29"/>
        <v>47476.159090907866</v>
      </c>
      <c r="F503" s="673">
        <f t="shared" si="24"/>
        <v>0</v>
      </c>
      <c r="G503" s="1263">
        <f t="shared" si="26"/>
        <v>51117.878130822188</v>
      </c>
      <c r="H503" s="1266">
        <f t="shared" si="27"/>
        <v>51117.878130822188</v>
      </c>
      <c r="I503" s="724">
        <f t="shared" si="28"/>
        <v>0</v>
      </c>
      <c r="J503" s="724"/>
      <c r="K503" s="869"/>
      <c r="L503" s="729"/>
      <c r="M503" s="869"/>
      <c r="N503" s="729"/>
      <c r="O503" s="729"/>
    </row>
    <row r="504" spans="3:15">
      <c r="C504" s="720">
        <f>IF(D453="","-",+C503+1)</f>
        <v>2058</v>
      </c>
      <c r="D504" s="673">
        <f t="shared" si="25"/>
        <v>0</v>
      </c>
      <c r="E504" s="726">
        <f t="shared" si="29"/>
        <v>0</v>
      </c>
      <c r="F504" s="673">
        <f t="shared" si="24"/>
        <v>0</v>
      </c>
      <c r="G504" s="1263">
        <f t="shared" si="26"/>
        <v>0</v>
      </c>
      <c r="H504" s="1266">
        <f t="shared" si="27"/>
        <v>0</v>
      </c>
      <c r="I504" s="724">
        <f t="shared" si="28"/>
        <v>0</v>
      </c>
      <c r="J504" s="724"/>
      <c r="K504" s="869"/>
      <c r="L504" s="729"/>
      <c r="M504" s="869"/>
      <c r="N504" s="729"/>
      <c r="O504" s="729"/>
    </row>
    <row r="505" spans="3:15">
      <c r="C505" s="720">
        <f>IF(D453="","-",+C504+1)</f>
        <v>2059</v>
      </c>
      <c r="D505" s="673">
        <f t="shared" si="25"/>
        <v>0</v>
      </c>
      <c r="E505" s="726">
        <f t="shared" si="29"/>
        <v>0</v>
      </c>
      <c r="F505" s="673">
        <f t="shared" si="24"/>
        <v>0</v>
      </c>
      <c r="G505" s="1263">
        <f t="shared" si="26"/>
        <v>0</v>
      </c>
      <c r="H505" s="1266">
        <f t="shared" si="27"/>
        <v>0</v>
      </c>
      <c r="I505" s="724">
        <f t="shared" si="28"/>
        <v>0</v>
      </c>
      <c r="J505" s="724"/>
      <c r="K505" s="869"/>
      <c r="L505" s="729"/>
      <c r="M505" s="869"/>
      <c r="N505" s="729"/>
      <c r="O505" s="729"/>
    </row>
    <row r="506" spans="3:15">
      <c r="C506" s="720">
        <f>IF(D453="","-",+C505+1)</f>
        <v>2060</v>
      </c>
      <c r="D506" s="673">
        <f t="shared" si="25"/>
        <v>0</v>
      </c>
      <c r="E506" s="726">
        <f t="shared" si="29"/>
        <v>0</v>
      </c>
      <c r="F506" s="673">
        <f t="shared" si="24"/>
        <v>0</v>
      </c>
      <c r="G506" s="1263">
        <f t="shared" si="26"/>
        <v>0</v>
      </c>
      <c r="H506" s="1266">
        <f t="shared" si="27"/>
        <v>0</v>
      </c>
      <c r="I506" s="724">
        <f t="shared" si="28"/>
        <v>0</v>
      </c>
      <c r="J506" s="724"/>
      <c r="K506" s="869"/>
      <c r="L506" s="729"/>
      <c r="M506" s="869"/>
      <c r="N506" s="729"/>
      <c r="O506" s="729"/>
    </row>
    <row r="507" spans="3:15">
      <c r="C507" s="720">
        <f>IF(D453="","-",+C506+1)</f>
        <v>2061</v>
      </c>
      <c r="D507" s="673">
        <f t="shared" si="25"/>
        <v>0</v>
      </c>
      <c r="E507" s="726">
        <f t="shared" si="29"/>
        <v>0</v>
      </c>
      <c r="F507" s="673">
        <f t="shared" si="24"/>
        <v>0</v>
      </c>
      <c r="G507" s="1263">
        <f t="shared" si="26"/>
        <v>0</v>
      </c>
      <c r="H507" s="1266">
        <f t="shared" si="27"/>
        <v>0</v>
      </c>
      <c r="I507" s="724">
        <f t="shared" si="28"/>
        <v>0</v>
      </c>
      <c r="J507" s="724"/>
      <c r="K507" s="869"/>
      <c r="L507" s="729"/>
      <c r="M507" s="869"/>
      <c r="N507" s="729"/>
      <c r="O507" s="729"/>
    </row>
    <row r="508" spans="3:15">
      <c r="C508" s="720">
        <f>IF(D453="","-",+C507+1)</f>
        <v>2062</v>
      </c>
      <c r="D508" s="673">
        <f t="shared" si="25"/>
        <v>0</v>
      </c>
      <c r="E508" s="726">
        <f t="shared" si="29"/>
        <v>0</v>
      </c>
      <c r="F508" s="673">
        <f t="shared" si="24"/>
        <v>0</v>
      </c>
      <c r="G508" s="1263">
        <f t="shared" si="26"/>
        <v>0</v>
      </c>
      <c r="H508" s="1266">
        <f t="shared" si="27"/>
        <v>0</v>
      </c>
      <c r="I508" s="724">
        <f t="shared" si="28"/>
        <v>0</v>
      </c>
      <c r="J508" s="724"/>
      <c r="K508" s="869"/>
      <c r="L508" s="729"/>
      <c r="M508" s="869"/>
      <c r="N508" s="729"/>
      <c r="O508" s="729"/>
    </row>
    <row r="509" spans="3:15">
      <c r="C509" s="720">
        <f>IF(D453="","-",+C508+1)</f>
        <v>2063</v>
      </c>
      <c r="D509" s="673">
        <f t="shared" si="25"/>
        <v>0</v>
      </c>
      <c r="E509" s="726">
        <f t="shared" si="29"/>
        <v>0</v>
      </c>
      <c r="F509" s="673">
        <f t="shared" si="24"/>
        <v>0</v>
      </c>
      <c r="G509" s="1263">
        <f t="shared" si="26"/>
        <v>0</v>
      </c>
      <c r="H509" s="1266">
        <f t="shared" si="27"/>
        <v>0</v>
      </c>
      <c r="I509" s="724">
        <f t="shared" si="28"/>
        <v>0</v>
      </c>
      <c r="J509" s="724"/>
      <c r="K509" s="869"/>
      <c r="L509" s="729"/>
      <c r="M509" s="869"/>
      <c r="N509" s="729"/>
      <c r="O509" s="729"/>
    </row>
    <row r="510" spans="3:15">
      <c r="C510" s="720">
        <f>IF(D453="","-",+C509+1)</f>
        <v>2064</v>
      </c>
      <c r="D510" s="673">
        <f t="shared" si="25"/>
        <v>0</v>
      </c>
      <c r="E510" s="726">
        <f t="shared" si="29"/>
        <v>0</v>
      </c>
      <c r="F510" s="673">
        <f t="shared" si="24"/>
        <v>0</v>
      </c>
      <c r="G510" s="1263">
        <f t="shared" si="26"/>
        <v>0</v>
      </c>
      <c r="H510" s="1266">
        <f t="shared" si="27"/>
        <v>0</v>
      </c>
      <c r="I510" s="724">
        <f t="shared" si="28"/>
        <v>0</v>
      </c>
      <c r="J510" s="724"/>
      <c r="K510" s="869"/>
      <c r="L510" s="729"/>
      <c r="M510" s="869"/>
      <c r="N510" s="729"/>
      <c r="O510" s="729"/>
    </row>
    <row r="511" spans="3:15">
      <c r="C511" s="720">
        <f>IF(D453="","-",+C510+1)</f>
        <v>2065</v>
      </c>
      <c r="D511" s="673">
        <f t="shared" si="25"/>
        <v>0</v>
      </c>
      <c r="E511" s="726">
        <f t="shared" si="29"/>
        <v>0</v>
      </c>
      <c r="F511" s="673">
        <f t="shared" si="24"/>
        <v>0</v>
      </c>
      <c r="G511" s="1263">
        <f t="shared" si="26"/>
        <v>0</v>
      </c>
      <c r="H511" s="1266">
        <f t="shared" si="27"/>
        <v>0</v>
      </c>
      <c r="I511" s="724">
        <f t="shared" si="28"/>
        <v>0</v>
      </c>
      <c r="J511" s="724"/>
      <c r="K511" s="869"/>
      <c r="L511" s="729"/>
      <c r="M511" s="869"/>
      <c r="N511" s="729"/>
      <c r="O511" s="729"/>
    </row>
    <row r="512" spans="3:15">
      <c r="C512" s="720">
        <f>IF(D453="","-",+C511+1)</f>
        <v>2066</v>
      </c>
      <c r="D512" s="673">
        <f t="shared" si="25"/>
        <v>0</v>
      </c>
      <c r="E512" s="726">
        <f t="shared" si="29"/>
        <v>0</v>
      </c>
      <c r="F512" s="673">
        <f t="shared" si="24"/>
        <v>0</v>
      </c>
      <c r="G512" s="1263">
        <f t="shared" si="26"/>
        <v>0</v>
      </c>
      <c r="H512" s="1266">
        <f t="shared" si="27"/>
        <v>0</v>
      </c>
      <c r="I512" s="724">
        <f t="shared" si="28"/>
        <v>0</v>
      </c>
      <c r="J512" s="724"/>
      <c r="K512" s="869"/>
      <c r="L512" s="729"/>
      <c r="M512" s="869"/>
      <c r="N512" s="729"/>
      <c r="O512" s="729"/>
    </row>
    <row r="513" spans="3:15">
      <c r="C513" s="720">
        <f>IF(D453="","-",+C512+1)</f>
        <v>2067</v>
      </c>
      <c r="D513" s="673">
        <f t="shared" si="25"/>
        <v>0</v>
      </c>
      <c r="E513" s="726">
        <f t="shared" si="29"/>
        <v>0</v>
      </c>
      <c r="F513" s="673">
        <f t="shared" si="24"/>
        <v>0</v>
      </c>
      <c r="G513" s="1263">
        <f t="shared" si="26"/>
        <v>0</v>
      </c>
      <c r="H513" s="1266">
        <f t="shared" si="27"/>
        <v>0</v>
      </c>
      <c r="I513" s="724">
        <f t="shared" si="28"/>
        <v>0</v>
      </c>
      <c r="J513" s="724"/>
      <c r="K513" s="869"/>
      <c r="L513" s="729"/>
      <c r="M513" s="869"/>
      <c r="N513" s="729"/>
      <c r="O513" s="729"/>
    </row>
    <row r="514" spans="3:15">
      <c r="C514" s="720">
        <f>IF(D453="","-",+C513+1)</f>
        <v>2068</v>
      </c>
      <c r="D514" s="673">
        <f t="shared" si="25"/>
        <v>0</v>
      </c>
      <c r="E514" s="726">
        <f t="shared" si="29"/>
        <v>0</v>
      </c>
      <c r="F514" s="673">
        <f t="shared" si="24"/>
        <v>0</v>
      </c>
      <c r="G514" s="1263">
        <f t="shared" si="26"/>
        <v>0</v>
      </c>
      <c r="H514" s="1266">
        <f t="shared" si="27"/>
        <v>0</v>
      </c>
      <c r="I514" s="724">
        <f t="shared" si="28"/>
        <v>0</v>
      </c>
      <c r="J514" s="724"/>
      <c r="K514" s="869"/>
      <c r="L514" s="729"/>
      <c r="M514" s="869"/>
      <c r="N514" s="729"/>
      <c r="O514" s="729"/>
    </row>
    <row r="515" spans="3:15">
      <c r="C515" s="720">
        <f>IF(D453="","-",+C514+1)</f>
        <v>2069</v>
      </c>
      <c r="D515" s="673">
        <f t="shared" si="25"/>
        <v>0</v>
      </c>
      <c r="E515" s="726">
        <f t="shared" si="29"/>
        <v>0</v>
      </c>
      <c r="F515" s="673">
        <f t="shared" si="24"/>
        <v>0</v>
      </c>
      <c r="G515" s="1263">
        <f t="shared" si="26"/>
        <v>0</v>
      </c>
      <c r="H515" s="1266">
        <f t="shared" si="27"/>
        <v>0</v>
      </c>
      <c r="I515" s="724">
        <f t="shared" si="28"/>
        <v>0</v>
      </c>
      <c r="J515" s="724"/>
      <c r="K515" s="869"/>
      <c r="L515" s="729"/>
      <c r="M515" s="869"/>
      <c r="N515" s="729"/>
      <c r="O515" s="729"/>
    </row>
    <row r="516" spans="3:15">
      <c r="C516" s="720">
        <f>IF(D453="","-",+C515+1)</f>
        <v>2070</v>
      </c>
      <c r="D516" s="673">
        <f t="shared" si="25"/>
        <v>0</v>
      </c>
      <c r="E516" s="726">
        <f t="shared" si="29"/>
        <v>0</v>
      </c>
      <c r="F516" s="673">
        <f t="shared" si="24"/>
        <v>0</v>
      </c>
      <c r="G516" s="1263">
        <f t="shared" si="26"/>
        <v>0</v>
      </c>
      <c r="H516" s="1266">
        <f t="shared" si="27"/>
        <v>0</v>
      </c>
      <c r="I516" s="724">
        <f t="shared" si="28"/>
        <v>0</v>
      </c>
      <c r="J516" s="724"/>
      <c r="K516" s="869"/>
      <c r="L516" s="729"/>
      <c r="M516" s="869"/>
      <c r="N516" s="729"/>
      <c r="O516" s="729"/>
    </row>
    <row r="517" spans="3:15">
      <c r="C517" s="720">
        <f>IF(D453="","-",+C516+1)</f>
        <v>2071</v>
      </c>
      <c r="D517" s="673">
        <f t="shared" si="25"/>
        <v>0</v>
      </c>
      <c r="E517" s="726">
        <f t="shared" si="29"/>
        <v>0</v>
      </c>
      <c r="F517" s="673">
        <f t="shared" si="24"/>
        <v>0</v>
      </c>
      <c r="G517" s="1263">
        <f t="shared" si="26"/>
        <v>0</v>
      </c>
      <c r="H517" s="1266">
        <f t="shared" si="27"/>
        <v>0</v>
      </c>
      <c r="I517" s="724">
        <f t="shared" si="28"/>
        <v>0</v>
      </c>
      <c r="J517" s="724"/>
      <c r="K517" s="869"/>
      <c r="L517" s="729"/>
      <c r="M517" s="869"/>
      <c r="N517" s="729"/>
      <c r="O517" s="729"/>
    </row>
    <row r="518" spans="3:15" ht="13.5" thickBot="1">
      <c r="C518" s="730">
        <f>IF(D453="","-",+C517+1)</f>
        <v>2072</v>
      </c>
      <c r="D518" s="731">
        <f t="shared" si="25"/>
        <v>0</v>
      </c>
      <c r="E518" s="732">
        <f t="shared" si="29"/>
        <v>0</v>
      </c>
      <c r="F518" s="731">
        <f t="shared" si="24"/>
        <v>0</v>
      </c>
      <c r="G518" s="1274">
        <f t="shared" si="26"/>
        <v>0</v>
      </c>
      <c r="H518" s="1274">
        <f t="shared" si="27"/>
        <v>0</v>
      </c>
      <c r="I518" s="734">
        <f t="shared" si="28"/>
        <v>0</v>
      </c>
      <c r="J518" s="724"/>
      <c r="K518" s="870"/>
      <c r="L518" s="736"/>
      <c r="M518" s="870"/>
      <c r="N518" s="736"/>
      <c r="O518" s="736"/>
    </row>
    <row r="519" spans="3:15">
      <c r="C519" s="673" t="s">
        <v>288</v>
      </c>
      <c r="D519" s="1242"/>
      <c r="E519" s="673"/>
      <c r="F519" s="1242"/>
      <c r="G519" s="1242">
        <f>SUM(G459:G518)</f>
        <v>9459790.3367867619</v>
      </c>
      <c r="H519" s="1242">
        <f>SUM(H459:H518)</f>
        <v>9459790.3367867619</v>
      </c>
      <c r="I519" s="1242">
        <f>SUM(I459:I518)</f>
        <v>0</v>
      </c>
      <c r="J519" s="1242"/>
      <c r="K519" s="1242"/>
      <c r="L519" s="1242"/>
      <c r="M519" s="1242"/>
      <c r="N519" s="1242"/>
      <c r="O519" s="542"/>
    </row>
    <row r="520" spans="3:15">
      <c r="D520" s="563"/>
      <c r="E520" s="542"/>
      <c r="F520" s="542"/>
      <c r="G520" s="542"/>
      <c r="H520" s="1241"/>
      <c r="I520" s="1241"/>
      <c r="J520" s="1242"/>
      <c r="K520" s="1241"/>
      <c r="L520" s="1241"/>
      <c r="M520" s="1241"/>
      <c r="N520" s="1241"/>
      <c r="O520" s="542"/>
    </row>
    <row r="521" spans="3:15">
      <c r="C521" s="542" t="s">
        <v>595</v>
      </c>
      <c r="D521" s="563"/>
      <c r="E521" s="542"/>
      <c r="F521" s="542"/>
      <c r="G521" s="542"/>
      <c r="H521" s="1241"/>
      <c r="I521" s="1241"/>
      <c r="J521" s="1242"/>
      <c r="K521" s="1241"/>
      <c r="L521" s="1241"/>
      <c r="M521" s="1241"/>
      <c r="N521" s="1241"/>
      <c r="O521" s="542"/>
    </row>
    <row r="522" spans="3:15">
      <c r="C522" s="542"/>
      <c r="D522" s="563"/>
      <c r="E522" s="542"/>
      <c r="F522" s="542"/>
      <c r="G522" s="542"/>
      <c r="H522" s="1241"/>
      <c r="I522" s="1241"/>
      <c r="J522" s="1242"/>
      <c r="K522" s="1241"/>
      <c r="L522" s="1241"/>
      <c r="M522" s="1241"/>
      <c r="N522" s="1241"/>
      <c r="O522" s="542"/>
    </row>
    <row r="523" spans="3:15">
      <c r="C523" s="684" t="s">
        <v>934</v>
      </c>
      <c r="D523" s="673"/>
      <c r="E523" s="673"/>
      <c r="F523" s="673"/>
      <c r="G523" s="1242"/>
      <c r="H523" s="1242"/>
      <c r="I523" s="674"/>
      <c r="J523" s="674"/>
      <c r="K523" s="674"/>
      <c r="L523" s="674"/>
      <c r="M523" s="674"/>
      <c r="N523" s="674"/>
      <c r="O523" s="542"/>
    </row>
    <row r="524" spans="3:15">
      <c r="C524" s="684" t="s">
        <v>476</v>
      </c>
      <c r="D524" s="673"/>
      <c r="E524" s="673"/>
      <c r="F524" s="673"/>
      <c r="G524" s="1242"/>
      <c r="H524" s="1242"/>
      <c r="I524" s="674"/>
      <c r="J524" s="674"/>
      <c r="K524" s="674"/>
      <c r="L524" s="674"/>
      <c r="M524" s="674"/>
      <c r="N524" s="674"/>
      <c r="O524" s="542"/>
    </row>
    <row r="525" spans="3:15">
      <c r="C525" s="672" t="s">
        <v>289</v>
      </c>
      <c r="D525" s="673"/>
      <c r="E525" s="673"/>
      <c r="F525" s="673"/>
      <c r="G525" s="1242"/>
      <c r="H525" s="1242"/>
      <c r="I525" s="674"/>
      <c r="J525" s="674"/>
      <c r="K525" s="674"/>
      <c r="L525" s="674"/>
      <c r="M525" s="674"/>
      <c r="N525" s="674"/>
      <c r="O525" s="542"/>
    </row>
    <row r="526" spans="3:15">
      <c r="C526" s="672"/>
      <c r="D526" s="673"/>
      <c r="E526" s="673"/>
      <c r="F526" s="673"/>
      <c r="G526" s="1242"/>
      <c r="H526" s="1242"/>
      <c r="I526" s="674"/>
      <c r="J526" s="674"/>
      <c r="K526" s="674"/>
      <c r="L526" s="674"/>
      <c r="M526" s="674"/>
      <c r="N526" s="674"/>
      <c r="O526" s="542"/>
    </row>
    <row r="527" spans="3:15">
      <c r="C527" s="1701" t="s">
        <v>460</v>
      </c>
      <c r="D527" s="1701"/>
      <c r="E527" s="1701"/>
      <c r="F527" s="1701"/>
      <c r="G527" s="1701"/>
      <c r="H527" s="1701"/>
      <c r="I527" s="1701"/>
      <c r="J527" s="1701"/>
      <c r="K527" s="1701"/>
      <c r="L527" s="1701"/>
      <c r="M527" s="1701"/>
      <c r="N527" s="1701"/>
      <c r="O527" s="1701"/>
    </row>
    <row r="528" spans="3:15">
      <c r="C528" s="1701"/>
      <c r="D528" s="1701"/>
      <c r="E528" s="1701"/>
      <c r="F528" s="1701"/>
      <c r="G528" s="1701"/>
      <c r="H528" s="1701"/>
      <c r="I528" s="1701"/>
      <c r="J528" s="1701"/>
      <c r="K528" s="1701"/>
      <c r="L528" s="1701"/>
      <c r="M528" s="1701"/>
      <c r="N528" s="1701"/>
      <c r="O528" s="1701"/>
    </row>
    <row r="529" spans="1:16" ht="20.25">
      <c r="A529" s="675" t="s">
        <v>931</v>
      </c>
      <c r="B529" s="576"/>
      <c r="C529" s="655"/>
      <c r="D529" s="563"/>
      <c r="E529" s="542"/>
      <c r="F529" s="645"/>
      <c r="G529" s="542"/>
      <c r="H529" s="1241"/>
      <c r="K529" s="676"/>
      <c r="L529" s="676"/>
      <c r="M529" s="676"/>
      <c r="N529" s="591" t="str">
        <f>"Page "&amp;SUM(P$6:P529)&amp;" of "</f>
        <v xml:space="preserve">Page 6 of </v>
      </c>
      <c r="O529" s="592">
        <f>COUNT(P$6:P$59579)</f>
        <v>22</v>
      </c>
      <c r="P529" s="542">
        <v>1</v>
      </c>
    </row>
    <row r="530" spans="1:16">
      <c r="B530" s="576"/>
      <c r="C530" s="542"/>
      <c r="D530" s="563"/>
      <c r="E530" s="542"/>
      <c r="F530" s="542"/>
      <c r="G530" s="542"/>
      <c r="H530" s="1241"/>
      <c r="I530" s="542"/>
      <c r="J530" s="588"/>
      <c r="K530" s="542"/>
      <c r="L530" s="542"/>
      <c r="M530" s="542"/>
      <c r="N530" s="542"/>
      <c r="O530" s="542"/>
    </row>
    <row r="531" spans="1:16" ht="18">
      <c r="B531" s="595" t="s">
        <v>174</v>
      </c>
      <c r="C531" s="677" t="s">
        <v>290</v>
      </c>
      <c r="D531" s="563"/>
      <c r="E531" s="542"/>
      <c r="F531" s="542"/>
      <c r="G531" s="542"/>
      <c r="H531" s="1241"/>
      <c r="I531" s="1241"/>
      <c r="J531" s="1242"/>
      <c r="K531" s="1241"/>
      <c r="L531" s="1241"/>
      <c r="M531" s="1241"/>
      <c r="N531" s="1241"/>
      <c r="O531" s="542"/>
    </row>
    <row r="532" spans="1:16" ht="18.75">
      <c r="B532" s="595"/>
      <c r="C532" s="594"/>
      <c r="D532" s="563"/>
      <c r="E532" s="542"/>
      <c r="F532" s="542"/>
      <c r="G532" s="542"/>
      <c r="H532" s="1241"/>
      <c r="I532" s="1241"/>
      <c r="J532" s="1242"/>
      <c r="K532" s="1241"/>
      <c r="L532" s="1241"/>
      <c r="M532" s="1241"/>
      <c r="N532" s="1241"/>
      <c r="O532" s="542"/>
    </row>
    <row r="533" spans="1:16" ht="18.75">
      <c r="B533" s="595"/>
      <c r="C533" s="594" t="s">
        <v>291</v>
      </c>
      <c r="D533" s="563"/>
      <c r="E533" s="542"/>
      <c r="F533" s="542"/>
      <c r="G533" s="542"/>
      <c r="H533" s="1241"/>
      <c r="I533" s="1241"/>
      <c r="J533" s="1242"/>
      <c r="K533" s="1241"/>
      <c r="L533" s="1241"/>
      <c r="M533" s="1241"/>
      <c r="N533" s="1241"/>
      <c r="O533" s="542"/>
    </row>
    <row r="534" spans="1:16" ht="15.75" thickBot="1">
      <c r="C534" s="396"/>
      <c r="D534" s="563"/>
      <c r="E534" s="542"/>
      <c r="F534" s="542"/>
      <c r="G534" s="542"/>
      <c r="H534" s="1241"/>
      <c r="I534" s="1241"/>
      <c r="J534" s="1242"/>
      <c r="K534" s="1241"/>
      <c r="L534" s="1241"/>
      <c r="M534" s="1241"/>
      <c r="N534" s="1241"/>
      <c r="O534" s="542"/>
    </row>
    <row r="535" spans="1:16" ht="15.75">
      <c r="C535" s="596" t="s">
        <v>292</v>
      </c>
      <c r="D535" s="563"/>
      <c r="E535" s="542"/>
      <c r="F535" s="542"/>
      <c r="G535" s="1276"/>
      <c r="H535" s="542" t="s">
        <v>271</v>
      </c>
      <c r="I535" s="542"/>
      <c r="J535" s="588"/>
      <c r="K535" s="678" t="s">
        <v>296</v>
      </c>
      <c r="L535" s="679"/>
      <c r="M535" s="680"/>
      <c r="N535" s="1244">
        <f>VLOOKUP(I541,C548:O607,5)</f>
        <v>-7207.0009930236738</v>
      </c>
      <c r="O535" s="542"/>
    </row>
    <row r="536" spans="1:16" ht="15.75">
      <c r="C536" s="596"/>
      <c r="D536" s="563"/>
      <c r="E536" s="542"/>
      <c r="F536" s="542"/>
      <c r="G536" s="542"/>
      <c r="H536" s="1245"/>
      <c r="I536" s="1245"/>
      <c r="J536" s="1246"/>
      <c r="K536" s="683" t="s">
        <v>297</v>
      </c>
      <c r="L536" s="1247"/>
      <c r="M536" s="588"/>
      <c r="N536" s="1248">
        <f>VLOOKUP(I541,C548:O607,6)</f>
        <v>-7207.0009930236738</v>
      </c>
      <c r="O536" s="542"/>
    </row>
    <row r="537" spans="1:16" ht="13.5" thickBot="1">
      <c r="C537" s="684" t="s">
        <v>293</v>
      </c>
      <c r="D537" s="872" t="s">
        <v>939</v>
      </c>
      <c r="E537" s="1281"/>
      <c r="F537" s="1281"/>
      <c r="G537" s="1281"/>
      <c r="H537" s="872"/>
      <c r="I537" s="872"/>
      <c r="J537" s="1242"/>
      <c r="K537" s="1249" t="s">
        <v>450</v>
      </c>
      <c r="L537" s="1250"/>
      <c r="M537" s="1250"/>
      <c r="N537" s="1251">
        <f>+N536-N535</f>
        <v>0</v>
      </c>
      <c r="O537" s="542"/>
    </row>
    <row r="538" spans="1:16">
      <c r="C538" s="686"/>
      <c r="D538" s="687"/>
      <c r="E538" s="671"/>
      <c r="F538" s="671"/>
      <c r="G538" s="688"/>
      <c r="H538" s="1241"/>
      <c r="I538" s="1241"/>
      <c r="J538" s="1242"/>
      <c r="K538" s="1241"/>
      <c r="L538" s="1241"/>
      <c r="M538" s="1241"/>
      <c r="N538" s="1241"/>
      <c r="O538" s="542"/>
    </row>
    <row r="539" spans="1:16" ht="13.5" thickBot="1">
      <c r="C539" s="689"/>
      <c r="D539" s="1252"/>
      <c r="E539" s="688"/>
      <c r="F539" s="688"/>
      <c r="G539" s="688"/>
      <c r="H539" s="688"/>
      <c r="I539" s="688"/>
      <c r="J539" s="691"/>
      <c r="K539" s="688"/>
      <c r="L539" s="688"/>
      <c r="M539" s="688"/>
      <c r="N539" s="688"/>
      <c r="O539" s="576"/>
    </row>
    <row r="540" spans="1:16" ht="13.5" thickBot="1">
      <c r="C540" s="692" t="s">
        <v>294</v>
      </c>
      <c r="D540" s="693"/>
      <c r="E540" s="693"/>
      <c r="F540" s="693"/>
      <c r="G540" s="693"/>
      <c r="H540" s="693"/>
      <c r="I540" s="694"/>
      <c r="J540" s="695"/>
      <c r="K540" s="542"/>
      <c r="L540" s="542"/>
      <c r="M540" s="542"/>
      <c r="N540" s="542"/>
      <c r="O540" s="696"/>
    </row>
    <row r="541" spans="1:16" ht="15">
      <c r="C541" s="697" t="s">
        <v>272</v>
      </c>
      <c r="D541" s="1253">
        <v>-42603</v>
      </c>
      <c r="E541" s="655" t="s">
        <v>273</v>
      </c>
      <c r="G541" s="698"/>
      <c r="H541" s="698"/>
      <c r="I541" s="699">
        <v>2018</v>
      </c>
      <c r="J541" s="586"/>
      <c r="K541" s="1702" t="s">
        <v>459</v>
      </c>
      <c r="L541" s="1702"/>
      <c r="M541" s="1702"/>
      <c r="N541" s="1702"/>
      <c r="O541" s="1702"/>
    </row>
    <row r="542" spans="1:16">
      <c r="C542" s="697" t="s">
        <v>275</v>
      </c>
      <c r="D542" s="873">
        <v>2016</v>
      </c>
      <c r="E542" s="697" t="s">
        <v>276</v>
      </c>
      <c r="F542" s="698"/>
      <c r="H542" s="330"/>
      <c r="I542" s="1254">
        <f>IF(G535="",0,$F$15)</f>
        <v>0</v>
      </c>
      <c r="J542" s="700"/>
      <c r="K542" s="1242" t="s">
        <v>459</v>
      </c>
    </row>
    <row r="543" spans="1:16">
      <c r="C543" s="697" t="s">
        <v>277</v>
      </c>
      <c r="D543" s="1280">
        <v>6</v>
      </c>
      <c r="E543" s="697" t="s">
        <v>278</v>
      </c>
      <c r="F543" s="698"/>
      <c r="H543" s="330"/>
      <c r="I543" s="701">
        <f>$G$70</f>
        <v>0.15341253840442806</v>
      </c>
      <c r="J543" s="702"/>
      <c r="K543" s="330" t="str">
        <f>"          INPUT PROJECTED ARR (WITH &amp; WITHOUT INCENTIVES) FROM EACH PRIOR YEAR"</f>
        <v xml:space="preserve">          INPUT PROJECTED ARR (WITH &amp; WITHOUT INCENTIVES) FROM EACH PRIOR YEAR</v>
      </c>
    </row>
    <row r="544" spans="1:16">
      <c r="C544" s="697" t="s">
        <v>279</v>
      </c>
      <c r="D544" s="703">
        <f>G$79</f>
        <v>44</v>
      </c>
      <c r="E544" s="697" t="s">
        <v>280</v>
      </c>
      <c r="F544" s="698"/>
      <c r="H544" s="330"/>
      <c r="I544" s="701">
        <f>IF(G535="",I543,$G$67)</f>
        <v>0.15341253840442806</v>
      </c>
      <c r="J544" s="704"/>
      <c r="K544" s="330" t="s">
        <v>357</v>
      </c>
    </row>
    <row r="545" spans="1:15" ht="13.5" thickBot="1">
      <c r="C545" s="697" t="s">
        <v>281</v>
      </c>
      <c r="D545" s="866" t="s">
        <v>933</v>
      </c>
      <c r="E545" s="705" t="s">
        <v>282</v>
      </c>
      <c r="F545" s="706"/>
      <c r="G545" s="707"/>
      <c r="H545" s="707"/>
      <c r="I545" s="1251">
        <f>IF(D541=0,0,D541/D544)</f>
        <v>-968.25</v>
      </c>
      <c r="J545" s="1242"/>
      <c r="K545" s="1242" t="s">
        <v>363</v>
      </c>
      <c r="L545" s="1242"/>
      <c r="M545" s="1242"/>
      <c r="N545" s="1242"/>
      <c r="O545" s="588"/>
    </row>
    <row r="546" spans="1:15" ht="51">
      <c r="A546" s="529"/>
      <c r="B546" s="1255"/>
      <c r="C546" s="708" t="s">
        <v>272</v>
      </c>
      <c r="D546" s="1256" t="s">
        <v>283</v>
      </c>
      <c r="E546" s="1257" t="s">
        <v>284</v>
      </c>
      <c r="F546" s="1256" t="s">
        <v>285</v>
      </c>
      <c r="G546" s="1257" t="s">
        <v>356</v>
      </c>
      <c r="H546" s="1258" t="s">
        <v>356</v>
      </c>
      <c r="I546" s="708" t="s">
        <v>295</v>
      </c>
      <c r="J546" s="712"/>
      <c r="K546" s="1257" t="s">
        <v>365</v>
      </c>
      <c r="L546" s="1259"/>
      <c r="M546" s="1257" t="s">
        <v>365</v>
      </c>
      <c r="N546" s="1259"/>
      <c r="O546" s="1259"/>
    </row>
    <row r="547" spans="1:15" ht="13.5" thickBot="1">
      <c r="C547" s="714" t="s">
        <v>177</v>
      </c>
      <c r="D547" s="715" t="s">
        <v>178</v>
      </c>
      <c r="E547" s="714" t="s">
        <v>37</v>
      </c>
      <c r="F547" s="715" t="s">
        <v>178</v>
      </c>
      <c r="G547" s="1260" t="s">
        <v>298</v>
      </c>
      <c r="H547" s="1261" t="s">
        <v>300</v>
      </c>
      <c r="I547" s="718" t="s">
        <v>389</v>
      </c>
      <c r="J547" s="719"/>
      <c r="K547" s="1260" t="s">
        <v>287</v>
      </c>
      <c r="L547" s="1262"/>
      <c r="M547" s="1260" t="s">
        <v>300</v>
      </c>
      <c r="N547" s="1262"/>
      <c r="O547" s="1262"/>
    </row>
    <row r="548" spans="1:15">
      <c r="C548" s="720">
        <f>IF(D542= "","-",D542)</f>
        <v>2016</v>
      </c>
      <c r="D548" s="673">
        <f>+D541</f>
        <v>-42603</v>
      </c>
      <c r="E548" s="1263">
        <f>+I545/12*(12-D543)</f>
        <v>-484.125</v>
      </c>
      <c r="F548" s="673">
        <f t="shared" ref="F548:F607" si="30">+D548-E548</f>
        <v>-42118.875</v>
      </c>
      <c r="G548" s="1264">
        <f>+$I$543*((D548+F548)/2)+E548</f>
        <v>-6982.823951066327</v>
      </c>
      <c r="H548" s="1265">
        <f>$I$544*((D548+F548)/2)+E548</f>
        <v>-6982.823951066327</v>
      </c>
      <c r="I548" s="724">
        <f>+H548-G548</f>
        <v>0</v>
      </c>
      <c r="J548" s="724"/>
      <c r="K548" s="868">
        <v>42109</v>
      </c>
      <c r="L548" s="725"/>
      <c r="M548" s="868">
        <v>42109</v>
      </c>
      <c r="N548" s="725"/>
      <c r="O548" s="725"/>
    </row>
    <row r="549" spans="1:15">
      <c r="C549" s="720">
        <f>IF(D542="","-",+C548+1)</f>
        <v>2017</v>
      </c>
      <c r="D549" s="673">
        <f t="shared" ref="D549:D591" si="31">F548</f>
        <v>-42118.875</v>
      </c>
      <c r="E549" s="1270">
        <f>$I$545</f>
        <v>-968.25</v>
      </c>
      <c r="F549" s="673">
        <f t="shared" si="30"/>
        <v>-41150.625</v>
      </c>
      <c r="G549" s="1263">
        <f t="shared" ref="G549:G607" si="32">+$I$543*((D549+F549)/2)+E549</f>
        <v>-7355.5426833337615</v>
      </c>
      <c r="H549" s="1266">
        <f t="shared" ref="H549:H607" si="33">$I$544*((D549+F549)/2)+E549</f>
        <v>-7355.5426833337615</v>
      </c>
      <c r="I549" s="724">
        <f t="shared" ref="I549:I607" si="34">+H549-G549</f>
        <v>0</v>
      </c>
      <c r="J549" s="724"/>
      <c r="K549" s="869">
        <v>41186</v>
      </c>
      <c r="L549" s="729"/>
      <c r="M549" s="869">
        <v>41186</v>
      </c>
      <c r="N549" s="729"/>
      <c r="O549" s="729"/>
    </row>
    <row r="550" spans="1:15">
      <c r="C550" s="1268">
        <f>IF(D542="","-",+C549+1)</f>
        <v>2018</v>
      </c>
      <c r="D550" s="1269">
        <f t="shared" si="31"/>
        <v>-41150.625</v>
      </c>
      <c r="E550" s="1270">
        <f t="shared" ref="E550:E591" si="35">$I$545</f>
        <v>-968.25</v>
      </c>
      <c r="F550" s="1269">
        <f t="shared" si="30"/>
        <v>-40182.375</v>
      </c>
      <c r="G550" s="1271">
        <f t="shared" si="32"/>
        <v>-7207.0009930236738</v>
      </c>
      <c r="H550" s="1272">
        <f t="shared" si="33"/>
        <v>-7207.0009930236738</v>
      </c>
      <c r="I550" s="1273">
        <f t="shared" si="34"/>
        <v>0</v>
      </c>
      <c r="J550" s="724"/>
      <c r="K550" s="869"/>
      <c r="L550" s="729"/>
      <c r="M550" s="869"/>
      <c r="N550" s="729"/>
      <c r="O550" s="729"/>
    </row>
    <row r="551" spans="1:15">
      <c r="C551" s="720">
        <f>IF(D542="","-",+C550+1)</f>
        <v>2019</v>
      </c>
      <c r="D551" s="1269">
        <f t="shared" si="31"/>
        <v>-40182.375</v>
      </c>
      <c r="E551" s="1270">
        <f t="shared" si="35"/>
        <v>-968.25</v>
      </c>
      <c r="F551" s="673">
        <f t="shared" si="30"/>
        <v>-39214.125</v>
      </c>
      <c r="G551" s="1263">
        <f t="shared" si="32"/>
        <v>-7058.4593027135861</v>
      </c>
      <c r="H551" s="1266">
        <f t="shared" si="33"/>
        <v>-7058.4593027135861</v>
      </c>
      <c r="I551" s="724">
        <f t="shared" si="34"/>
        <v>0</v>
      </c>
      <c r="J551" s="724"/>
      <c r="K551" s="869"/>
      <c r="L551" s="729"/>
      <c r="M551" s="869"/>
      <c r="N551" s="729"/>
      <c r="O551" s="729"/>
    </row>
    <row r="552" spans="1:15">
      <c r="C552" s="720">
        <f>IF(D542="","-",+C551+1)</f>
        <v>2020</v>
      </c>
      <c r="D552" s="1269">
        <f t="shared" si="31"/>
        <v>-39214.125</v>
      </c>
      <c r="E552" s="1270">
        <f t="shared" si="35"/>
        <v>-968.25</v>
      </c>
      <c r="F552" s="673">
        <f t="shared" si="30"/>
        <v>-38245.875</v>
      </c>
      <c r="G552" s="1263">
        <f t="shared" si="32"/>
        <v>-6909.9176124034984</v>
      </c>
      <c r="H552" s="1266">
        <f t="shared" si="33"/>
        <v>-6909.9176124034984</v>
      </c>
      <c r="I552" s="724">
        <f t="shared" si="34"/>
        <v>0</v>
      </c>
      <c r="J552" s="724"/>
      <c r="K552" s="869"/>
      <c r="L552" s="729"/>
      <c r="M552" s="869"/>
      <c r="N552" s="729"/>
      <c r="O552" s="729"/>
    </row>
    <row r="553" spans="1:15">
      <c r="C553" s="720">
        <f>IF(D542="","-",+C552+1)</f>
        <v>2021</v>
      </c>
      <c r="D553" s="1269">
        <f t="shared" si="31"/>
        <v>-38245.875</v>
      </c>
      <c r="E553" s="1270">
        <f t="shared" si="35"/>
        <v>-968.25</v>
      </c>
      <c r="F553" s="673">
        <f t="shared" si="30"/>
        <v>-37277.625</v>
      </c>
      <c r="G553" s="1263">
        <f t="shared" si="32"/>
        <v>-6761.3759220934116</v>
      </c>
      <c r="H553" s="1266">
        <f t="shared" si="33"/>
        <v>-6761.3759220934116</v>
      </c>
      <c r="I553" s="724">
        <f t="shared" si="34"/>
        <v>0</v>
      </c>
      <c r="J553" s="724"/>
      <c r="K553" s="869"/>
      <c r="L553" s="729"/>
      <c r="M553" s="869"/>
      <c r="N553" s="729"/>
      <c r="O553" s="729"/>
    </row>
    <row r="554" spans="1:15">
      <c r="C554" s="720">
        <f>IF(D542="","-",+C553+1)</f>
        <v>2022</v>
      </c>
      <c r="D554" s="1269">
        <f t="shared" si="31"/>
        <v>-37277.625</v>
      </c>
      <c r="E554" s="1270">
        <f t="shared" si="35"/>
        <v>-968.25</v>
      </c>
      <c r="F554" s="673">
        <f t="shared" si="30"/>
        <v>-36309.375</v>
      </c>
      <c r="G554" s="1263">
        <f t="shared" si="32"/>
        <v>-6612.834231783324</v>
      </c>
      <c r="H554" s="1266">
        <f t="shared" si="33"/>
        <v>-6612.834231783324</v>
      </c>
      <c r="I554" s="724">
        <f t="shared" si="34"/>
        <v>0</v>
      </c>
      <c r="J554" s="724"/>
      <c r="K554" s="869"/>
      <c r="L554" s="729"/>
      <c r="M554" s="869"/>
      <c r="N554" s="729"/>
      <c r="O554" s="729"/>
    </row>
    <row r="555" spans="1:15">
      <c r="C555" s="720">
        <f>IF(D542="","-",+C554+1)</f>
        <v>2023</v>
      </c>
      <c r="D555" s="1269">
        <f t="shared" si="31"/>
        <v>-36309.375</v>
      </c>
      <c r="E555" s="1270">
        <f t="shared" si="35"/>
        <v>-968.25</v>
      </c>
      <c r="F555" s="673">
        <f t="shared" si="30"/>
        <v>-35341.125</v>
      </c>
      <c r="G555" s="1263">
        <f t="shared" si="32"/>
        <v>-6464.2925414732363</v>
      </c>
      <c r="H555" s="1266">
        <f t="shared" si="33"/>
        <v>-6464.2925414732363</v>
      </c>
      <c r="I555" s="724">
        <f t="shared" si="34"/>
        <v>0</v>
      </c>
      <c r="J555" s="724"/>
      <c r="K555" s="869"/>
      <c r="L555" s="729"/>
      <c r="M555" s="869"/>
      <c r="N555" s="729"/>
      <c r="O555" s="729"/>
    </row>
    <row r="556" spans="1:15">
      <c r="C556" s="720">
        <f>IF(D542="","-",+C555+1)</f>
        <v>2024</v>
      </c>
      <c r="D556" s="1269">
        <f t="shared" si="31"/>
        <v>-35341.125</v>
      </c>
      <c r="E556" s="1270">
        <f t="shared" si="35"/>
        <v>-968.25</v>
      </c>
      <c r="F556" s="673">
        <f t="shared" si="30"/>
        <v>-34372.875</v>
      </c>
      <c r="G556" s="1263">
        <f t="shared" si="32"/>
        <v>-6315.7508511631486</v>
      </c>
      <c r="H556" s="1266">
        <f t="shared" si="33"/>
        <v>-6315.7508511631486</v>
      </c>
      <c r="I556" s="724">
        <f t="shared" si="34"/>
        <v>0</v>
      </c>
      <c r="J556" s="724"/>
      <c r="K556" s="869"/>
      <c r="L556" s="729"/>
      <c r="M556" s="869"/>
      <c r="N556" s="729"/>
      <c r="O556" s="729"/>
    </row>
    <row r="557" spans="1:15">
      <c r="C557" s="720">
        <f>IF(D542="","-",+C556+1)</f>
        <v>2025</v>
      </c>
      <c r="D557" s="1269">
        <f t="shared" si="31"/>
        <v>-34372.875</v>
      </c>
      <c r="E557" s="1270">
        <f t="shared" si="35"/>
        <v>-968.25</v>
      </c>
      <c r="F557" s="673">
        <f t="shared" si="30"/>
        <v>-33404.625</v>
      </c>
      <c r="G557" s="1263">
        <f t="shared" si="32"/>
        <v>-6167.2091608530618</v>
      </c>
      <c r="H557" s="1266">
        <f t="shared" si="33"/>
        <v>-6167.2091608530618</v>
      </c>
      <c r="I557" s="724">
        <f t="shared" si="34"/>
        <v>0</v>
      </c>
      <c r="J557" s="724"/>
      <c r="K557" s="869"/>
      <c r="L557" s="729"/>
      <c r="M557" s="869"/>
      <c r="N557" s="729"/>
      <c r="O557" s="729"/>
    </row>
    <row r="558" spans="1:15">
      <c r="C558" s="720">
        <f>IF(D542="","-",+C557+1)</f>
        <v>2026</v>
      </c>
      <c r="D558" s="1269">
        <f t="shared" si="31"/>
        <v>-33404.625</v>
      </c>
      <c r="E558" s="1270">
        <f t="shared" si="35"/>
        <v>-968.25</v>
      </c>
      <c r="F558" s="673">
        <f t="shared" si="30"/>
        <v>-32436.375</v>
      </c>
      <c r="G558" s="1263">
        <f t="shared" si="32"/>
        <v>-6018.6674705429741</v>
      </c>
      <c r="H558" s="1266">
        <f t="shared" si="33"/>
        <v>-6018.6674705429741</v>
      </c>
      <c r="I558" s="724">
        <f t="shared" si="34"/>
        <v>0</v>
      </c>
      <c r="J558" s="724"/>
      <c r="K558" s="869"/>
      <c r="L558" s="729"/>
      <c r="M558" s="869"/>
      <c r="N558" s="729"/>
      <c r="O558" s="729"/>
    </row>
    <row r="559" spans="1:15">
      <c r="C559" s="720">
        <f>IF(D542="","-",+C558+1)</f>
        <v>2027</v>
      </c>
      <c r="D559" s="1269">
        <f t="shared" si="31"/>
        <v>-32436.375</v>
      </c>
      <c r="E559" s="1270">
        <f t="shared" si="35"/>
        <v>-968.25</v>
      </c>
      <c r="F559" s="673">
        <f t="shared" si="30"/>
        <v>-31468.125</v>
      </c>
      <c r="G559" s="1263">
        <f t="shared" si="32"/>
        <v>-5870.1257802328864</v>
      </c>
      <c r="H559" s="1266">
        <f t="shared" si="33"/>
        <v>-5870.1257802328864</v>
      </c>
      <c r="I559" s="724">
        <f t="shared" si="34"/>
        <v>0</v>
      </c>
      <c r="J559" s="724"/>
      <c r="K559" s="869"/>
      <c r="L559" s="729"/>
      <c r="M559" s="869"/>
      <c r="N559" s="729"/>
      <c r="O559" s="729"/>
    </row>
    <row r="560" spans="1:15">
      <c r="C560" s="720">
        <f>IF(D542="","-",+C559+1)</f>
        <v>2028</v>
      </c>
      <c r="D560" s="1269">
        <f t="shared" si="31"/>
        <v>-31468.125</v>
      </c>
      <c r="E560" s="1270">
        <f t="shared" si="35"/>
        <v>-968.25</v>
      </c>
      <c r="F560" s="673">
        <f t="shared" si="30"/>
        <v>-30499.875</v>
      </c>
      <c r="G560" s="1263">
        <f t="shared" si="32"/>
        <v>-5721.5840899227987</v>
      </c>
      <c r="H560" s="1266">
        <f t="shared" si="33"/>
        <v>-5721.5840899227987</v>
      </c>
      <c r="I560" s="724">
        <f t="shared" si="34"/>
        <v>0</v>
      </c>
      <c r="J560" s="724"/>
      <c r="K560" s="869"/>
      <c r="L560" s="729"/>
      <c r="M560" s="869"/>
      <c r="N560" s="729"/>
      <c r="O560" s="729"/>
    </row>
    <row r="561" spans="3:15">
      <c r="C561" s="720">
        <f>IF(D542="","-",+C560+1)</f>
        <v>2029</v>
      </c>
      <c r="D561" s="1269">
        <f t="shared" si="31"/>
        <v>-30499.875</v>
      </c>
      <c r="E561" s="1270">
        <f t="shared" si="35"/>
        <v>-968.25</v>
      </c>
      <c r="F561" s="673">
        <f t="shared" si="30"/>
        <v>-29531.625</v>
      </c>
      <c r="G561" s="1263">
        <f t="shared" si="32"/>
        <v>-5573.042399612712</v>
      </c>
      <c r="H561" s="1266">
        <f t="shared" si="33"/>
        <v>-5573.042399612712</v>
      </c>
      <c r="I561" s="724">
        <f t="shared" si="34"/>
        <v>0</v>
      </c>
      <c r="J561" s="724"/>
      <c r="K561" s="869"/>
      <c r="L561" s="729"/>
      <c r="M561" s="869"/>
      <c r="N561" s="729"/>
      <c r="O561" s="729"/>
    </row>
    <row r="562" spans="3:15">
      <c r="C562" s="720">
        <f>IF(D542="","-",+C561+1)</f>
        <v>2030</v>
      </c>
      <c r="D562" s="1269">
        <f t="shared" si="31"/>
        <v>-29531.625</v>
      </c>
      <c r="E562" s="1270">
        <f t="shared" si="35"/>
        <v>-968.25</v>
      </c>
      <c r="F562" s="673">
        <f t="shared" si="30"/>
        <v>-28563.375</v>
      </c>
      <c r="G562" s="1263">
        <f t="shared" si="32"/>
        <v>-5424.5007093026243</v>
      </c>
      <c r="H562" s="1266">
        <f t="shared" si="33"/>
        <v>-5424.5007093026243</v>
      </c>
      <c r="I562" s="724">
        <f t="shared" si="34"/>
        <v>0</v>
      </c>
      <c r="J562" s="724"/>
      <c r="K562" s="869"/>
      <c r="L562" s="729"/>
      <c r="M562" s="869"/>
      <c r="N562" s="729"/>
      <c r="O562" s="729"/>
    </row>
    <row r="563" spans="3:15">
      <c r="C563" s="720">
        <f>IF(D542="","-",+C562+1)</f>
        <v>2031</v>
      </c>
      <c r="D563" s="1269">
        <f t="shared" si="31"/>
        <v>-28563.375</v>
      </c>
      <c r="E563" s="1270">
        <f t="shared" si="35"/>
        <v>-968.25</v>
      </c>
      <c r="F563" s="673">
        <f t="shared" si="30"/>
        <v>-27595.125</v>
      </c>
      <c r="G563" s="1263">
        <f t="shared" si="32"/>
        <v>-5275.9590189925366</v>
      </c>
      <c r="H563" s="1266">
        <f t="shared" si="33"/>
        <v>-5275.9590189925366</v>
      </c>
      <c r="I563" s="724">
        <f t="shared" si="34"/>
        <v>0</v>
      </c>
      <c r="J563" s="724"/>
      <c r="K563" s="869"/>
      <c r="L563" s="729"/>
      <c r="M563" s="869"/>
      <c r="N563" s="729"/>
      <c r="O563" s="729"/>
    </row>
    <row r="564" spans="3:15">
      <c r="C564" s="720">
        <f>IF(D542="","-",+C563+1)</f>
        <v>2032</v>
      </c>
      <c r="D564" s="1269">
        <f t="shared" si="31"/>
        <v>-27595.125</v>
      </c>
      <c r="E564" s="1270">
        <f t="shared" si="35"/>
        <v>-968.25</v>
      </c>
      <c r="F564" s="673">
        <f t="shared" si="30"/>
        <v>-26626.875</v>
      </c>
      <c r="G564" s="1263">
        <f t="shared" si="32"/>
        <v>-5127.4173286824489</v>
      </c>
      <c r="H564" s="1266">
        <f t="shared" si="33"/>
        <v>-5127.4173286824489</v>
      </c>
      <c r="I564" s="724">
        <f t="shared" si="34"/>
        <v>0</v>
      </c>
      <c r="J564" s="724"/>
      <c r="K564" s="869"/>
      <c r="L564" s="729"/>
      <c r="M564" s="869"/>
      <c r="N564" s="729"/>
      <c r="O564" s="729"/>
    </row>
    <row r="565" spans="3:15">
      <c r="C565" s="720">
        <f>IF(D542="","-",+C564+1)</f>
        <v>2033</v>
      </c>
      <c r="D565" s="1269">
        <f t="shared" si="31"/>
        <v>-26626.875</v>
      </c>
      <c r="E565" s="1270">
        <f t="shared" si="35"/>
        <v>-968.25</v>
      </c>
      <c r="F565" s="673">
        <f t="shared" si="30"/>
        <v>-25658.625</v>
      </c>
      <c r="G565" s="1263">
        <f t="shared" si="32"/>
        <v>-4978.8756383723612</v>
      </c>
      <c r="H565" s="1266">
        <f t="shared" si="33"/>
        <v>-4978.8756383723612</v>
      </c>
      <c r="I565" s="724">
        <f t="shared" si="34"/>
        <v>0</v>
      </c>
      <c r="J565" s="724"/>
      <c r="K565" s="869"/>
      <c r="L565" s="729"/>
      <c r="M565" s="869"/>
      <c r="N565" s="729"/>
      <c r="O565" s="729"/>
    </row>
    <row r="566" spans="3:15">
      <c r="C566" s="720">
        <f>IF(D542="","-",+C565+1)</f>
        <v>2034</v>
      </c>
      <c r="D566" s="1269">
        <f t="shared" si="31"/>
        <v>-25658.625</v>
      </c>
      <c r="E566" s="1270">
        <f t="shared" si="35"/>
        <v>-968.25</v>
      </c>
      <c r="F566" s="673">
        <f t="shared" si="30"/>
        <v>-24690.375</v>
      </c>
      <c r="G566" s="1263">
        <f t="shared" si="32"/>
        <v>-4830.3339480622744</v>
      </c>
      <c r="H566" s="1266">
        <f t="shared" si="33"/>
        <v>-4830.3339480622744</v>
      </c>
      <c r="I566" s="724">
        <f t="shared" si="34"/>
        <v>0</v>
      </c>
      <c r="J566" s="724"/>
      <c r="K566" s="869"/>
      <c r="L566" s="729"/>
      <c r="M566" s="869"/>
      <c r="N566" s="729"/>
      <c r="O566" s="729"/>
    </row>
    <row r="567" spans="3:15">
      <c r="C567" s="720">
        <f>IF(D542="","-",+C566+1)</f>
        <v>2035</v>
      </c>
      <c r="D567" s="1269">
        <f t="shared" si="31"/>
        <v>-24690.375</v>
      </c>
      <c r="E567" s="1270">
        <f t="shared" si="35"/>
        <v>-968.25</v>
      </c>
      <c r="F567" s="673">
        <f t="shared" si="30"/>
        <v>-23722.125</v>
      </c>
      <c r="G567" s="1263">
        <f t="shared" si="32"/>
        <v>-4681.7922577521867</v>
      </c>
      <c r="H567" s="1266">
        <f t="shared" si="33"/>
        <v>-4681.7922577521867</v>
      </c>
      <c r="I567" s="724">
        <f t="shared" si="34"/>
        <v>0</v>
      </c>
      <c r="J567" s="724"/>
      <c r="K567" s="869"/>
      <c r="L567" s="729"/>
      <c r="M567" s="869"/>
      <c r="N567" s="729"/>
      <c r="O567" s="729"/>
    </row>
    <row r="568" spans="3:15">
      <c r="C568" s="720">
        <f>IF(D542="","-",+C567+1)</f>
        <v>2036</v>
      </c>
      <c r="D568" s="1269">
        <f t="shared" si="31"/>
        <v>-23722.125</v>
      </c>
      <c r="E568" s="1270">
        <f t="shared" si="35"/>
        <v>-968.25</v>
      </c>
      <c r="F568" s="673">
        <f t="shared" si="30"/>
        <v>-22753.875</v>
      </c>
      <c r="G568" s="1263">
        <f t="shared" si="32"/>
        <v>-4533.2505674420991</v>
      </c>
      <c r="H568" s="1266">
        <f t="shared" si="33"/>
        <v>-4533.2505674420991</v>
      </c>
      <c r="I568" s="724">
        <f t="shared" si="34"/>
        <v>0</v>
      </c>
      <c r="J568" s="724"/>
      <c r="K568" s="869"/>
      <c r="L568" s="729"/>
      <c r="M568" s="869"/>
      <c r="N568" s="729"/>
      <c r="O568" s="729"/>
    </row>
    <row r="569" spans="3:15">
      <c r="C569" s="720">
        <f>IF(D542="","-",+C568+1)</f>
        <v>2037</v>
      </c>
      <c r="D569" s="1269">
        <f t="shared" si="31"/>
        <v>-22753.875</v>
      </c>
      <c r="E569" s="1270">
        <f t="shared" si="35"/>
        <v>-968.25</v>
      </c>
      <c r="F569" s="673">
        <f t="shared" si="30"/>
        <v>-21785.625</v>
      </c>
      <c r="G569" s="1263">
        <f t="shared" si="32"/>
        <v>-4384.7088771320123</v>
      </c>
      <c r="H569" s="1266">
        <f t="shared" si="33"/>
        <v>-4384.7088771320123</v>
      </c>
      <c r="I569" s="724">
        <f t="shared" si="34"/>
        <v>0</v>
      </c>
      <c r="J569" s="724"/>
      <c r="K569" s="869"/>
      <c r="L569" s="729"/>
      <c r="M569" s="869"/>
      <c r="N569" s="729"/>
      <c r="O569" s="729"/>
    </row>
    <row r="570" spans="3:15">
      <c r="C570" s="720">
        <f>IF(D542="","-",+C569+1)</f>
        <v>2038</v>
      </c>
      <c r="D570" s="1269">
        <f t="shared" si="31"/>
        <v>-21785.625</v>
      </c>
      <c r="E570" s="1270">
        <f t="shared" si="35"/>
        <v>-968.25</v>
      </c>
      <c r="F570" s="673">
        <f t="shared" si="30"/>
        <v>-20817.375</v>
      </c>
      <c r="G570" s="1263">
        <f t="shared" si="32"/>
        <v>-4236.1671868219237</v>
      </c>
      <c r="H570" s="1266">
        <f t="shared" si="33"/>
        <v>-4236.1671868219237</v>
      </c>
      <c r="I570" s="724">
        <f t="shared" si="34"/>
        <v>0</v>
      </c>
      <c r="J570" s="724"/>
      <c r="K570" s="869"/>
      <c r="L570" s="729"/>
      <c r="M570" s="869"/>
      <c r="N570" s="729"/>
      <c r="O570" s="729"/>
    </row>
    <row r="571" spans="3:15">
      <c r="C571" s="720">
        <f>IF(D542="","-",+C570+1)</f>
        <v>2039</v>
      </c>
      <c r="D571" s="1269">
        <f t="shared" si="31"/>
        <v>-20817.375</v>
      </c>
      <c r="E571" s="1270">
        <f t="shared" si="35"/>
        <v>-968.25</v>
      </c>
      <c r="F571" s="673">
        <f t="shared" si="30"/>
        <v>-19849.125</v>
      </c>
      <c r="G571" s="1263">
        <f t="shared" si="32"/>
        <v>-4087.6254965118369</v>
      </c>
      <c r="H571" s="1266">
        <f t="shared" si="33"/>
        <v>-4087.6254965118369</v>
      </c>
      <c r="I571" s="724">
        <f t="shared" si="34"/>
        <v>0</v>
      </c>
      <c r="J571" s="724"/>
      <c r="K571" s="869"/>
      <c r="L571" s="729"/>
      <c r="M571" s="869"/>
      <c r="N571" s="729"/>
      <c r="O571" s="729"/>
    </row>
    <row r="572" spans="3:15">
      <c r="C572" s="720">
        <f>IF(D542="","-",+C571+1)</f>
        <v>2040</v>
      </c>
      <c r="D572" s="1269">
        <f t="shared" si="31"/>
        <v>-19849.125</v>
      </c>
      <c r="E572" s="1270">
        <f t="shared" si="35"/>
        <v>-968.25</v>
      </c>
      <c r="F572" s="673">
        <f t="shared" si="30"/>
        <v>-18880.875</v>
      </c>
      <c r="G572" s="1263">
        <f t="shared" si="32"/>
        <v>-3939.0838062017492</v>
      </c>
      <c r="H572" s="1266">
        <f t="shared" si="33"/>
        <v>-3939.0838062017492</v>
      </c>
      <c r="I572" s="724">
        <f t="shared" si="34"/>
        <v>0</v>
      </c>
      <c r="J572" s="724"/>
      <c r="K572" s="869"/>
      <c r="L572" s="729"/>
      <c r="M572" s="869"/>
      <c r="N572" s="729"/>
      <c r="O572" s="729"/>
    </row>
    <row r="573" spans="3:15">
      <c r="C573" s="720">
        <f>IF(D542="","-",+C572+1)</f>
        <v>2041</v>
      </c>
      <c r="D573" s="1269">
        <f t="shared" si="31"/>
        <v>-18880.875</v>
      </c>
      <c r="E573" s="1270">
        <f t="shared" si="35"/>
        <v>-968.25</v>
      </c>
      <c r="F573" s="673">
        <f t="shared" si="30"/>
        <v>-17912.625</v>
      </c>
      <c r="G573" s="1263">
        <f t="shared" si="32"/>
        <v>-3790.542115891662</v>
      </c>
      <c r="H573" s="1266">
        <f t="shared" si="33"/>
        <v>-3790.542115891662</v>
      </c>
      <c r="I573" s="724">
        <f t="shared" si="34"/>
        <v>0</v>
      </c>
      <c r="J573" s="724"/>
      <c r="K573" s="869"/>
      <c r="L573" s="729"/>
      <c r="M573" s="869"/>
      <c r="N573" s="729"/>
      <c r="O573" s="729"/>
    </row>
    <row r="574" spans="3:15">
      <c r="C574" s="720">
        <f>IF(D542="","-",+C573+1)</f>
        <v>2042</v>
      </c>
      <c r="D574" s="1269">
        <f t="shared" si="31"/>
        <v>-17912.625</v>
      </c>
      <c r="E574" s="1270">
        <f t="shared" si="35"/>
        <v>-968.25</v>
      </c>
      <c r="F574" s="673">
        <f t="shared" si="30"/>
        <v>-16944.375</v>
      </c>
      <c r="G574" s="1263">
        <f t="shared" si="32"/>
        <v>-3642.0004255815743</v>
      </c>
      <c r="H574" s="1266">
        <f t="shared" si="33"/>
        <v>-3642.0004255815743</v>
      </c>
      <c r="I574" s="724">
        <f t="shared" si="34"/>
        <v>0</v>
      </c>
      <c r="J574" s="724"/>
      <c r="K574" s="869"/>
      <c r="L574" s="729"/>
      <c r="M574" s="869"/>
      <c r="N574" s="729"/>
      <c r="O574" s="729"/>
    </row>
    <row r="575" spans="3:15">
      <c r="C575" s="720">
        <f>IF(D542="","-",+C574+1)</f>
        <v>2043</v>
      </c>
      <c r="D575" s="1269">
        <f t="shared" si="31"/>
        <v>-16944.375</v>
      </c>
      <c r="E575" s="1270">
        <f t="shared" si="35"/>
        <v>-968.25</v>
      </c>
      <c r="F575" s="673">
        <f t="shared" si="30"/>
        <v>-15976.125</v>
      </c>
      <c r="G575" s="1263">
        <f t="shared" si="32"/>
        <v>-3493.4587352714871</v>
      </c>
      <c r="H575" s="1266">
        <f t="shared" si="33"/>
        <v>-3493.4587352714871</v>
      </c>
      <c r="I575" s="724">
        <f t="shared" si="34"/>
        <v>0</v>
      </c>
      <c r="J575" s="724"/>
      <c r="K575" s="869"/>
      <c r="L575" s="729"/>
      <c r="M575" s="869"/>
      <c r="N575" s="729"/>
      <c r="O575" s="729"/>
    </row>
    <row r="576" spans="3:15">
      <c r="C576" s="720">
        <f>IF(D542="","-",+C575+1)</f>
        <v>2044</v>
      </c>
      <c r="D576" s="1269">
        <f t="shared" si="31"/>
        <v>-15976.125</v>
      </c>
      <c r="E576" s="1270">
        <f t="shared" si="35"/>
        <v>-968.25</v>
      </c>
      <c r="F576" s="673">
        <f t="shared" si="30"/>
        <v>-15007.875</v>
      </c>
      <c r="G576" s="1264">
        <f t="shared" si="32"/>
        <v>-3344.9170449613994</v>
      </c>
      <c r="H576" s="1266">
        <f t="shared" si="33"/>
        <v>-3344.9170449613994</v>
      </c>
      <c r="I576" s="724">
        <f t="shared" si="34"/>
        <v>0</v>
      </c>
      <c r="J576" s="724"/>
      <c r="K576" s="869"/>
      <c r="L576" s="729"/>
      <c r="M576" s="869"/>
      <c r="N576" s="729"/>
      <c r="O576" s="729"/>
    </row>
    <row r="577" spans="3:15">
      <c r="C577" s="720">
        <f>IF(D542="","-",+C576+1)</f>
        <v>2045</v>
      </c>
      <c r="D577" s="1269">
        <f t="shared" si="31"/>
        <v>-15007.875</v>
      </c>
      <c r="E577" s="1270">
        <f t="shared" si="35"/>
        <v>-968.25</v>
      </c>
      <c r="F577" s="673">
        <f t="shared" si="30"/>
        <v>-14039.625</v>
      </c>
      <c r="G577" s="1263">
        <f t="shared" si="32"/>
        <v>-3196.3753546513121</v>
      </c>
      <c r="H577" s="1266">
        <f t="shared" si="33"/>
        <v>-3196.3753546513121</v>
      </c>
      <c r="I577" s="724">
        <f t="shared" si="34"/>
        <v>0</v>
      </c>
      <c r="J577" s="724"/>
      <c r="K577" s="869"/>
      <c r="L577" s="729"/>
      <c r="M577" s="869"/>
      <c r="N577" s="729"/>
      <c r="O577" s="729"/>
    </row>
    <row r="578" spans="3:15">
      <c r="C578" s="720">
        <f>IF(D542="","-",+C577+1)</f>
        <v>2046</v>
      </c>
      <c r="D578" s="1269">
        <f t="shared" si="31"/>
        <v>-14039.625</v>
      </c>
      <c r="E578" s="1270">
        <f t="shared" si="35"/>
        <v>-968.25</v>
      </c>
      <c r="F578" s="673">
        <f t="shared" si="30"/>
        <v>-13071.375</v>
      </c>
      <c r="G578" s="1263">
        <f t="shared" si="32"/>
        <v>-3047.8336643412244</v>
      </c>
      <c r="H578" s="1266">
        <f t="shared" si="33"/>
        <v>-3047.8336643412244</v>
      </c>
      <c r="I578" s="724">
        <f t="shared" si="34"/>
        <v>0</v>
      </c>
      <c r="J578" s="724"/>
      <c r="K578" s="869"/>
      <c r="L578" s="729"/>
      <c r="M578" s="869"/>
      <c r="N578" s="729"/>
      <c r="O578" s="729"/>
    </row>
    <row r="579" spans="3:15">
      <c r="C579" s="720">
        <f>IF(D542="","-",+C578+1)</f>
        <v>2047</v>
      </c>
      <c r="D579" s="1269">
        <f t="shared" si="31"/>
        <v>-13071.375</v>
      </c>
      <c r="E579" s="1270">
        <f t="shared" si="35"/>
        <v>-968.25</v>
      </c>
      <c r="F579" s="673">
        <f t="shared" si="30"/>
        <v>-12103.125</v>
      </c>
      <c r="G579" s="1263">
        <f t="shared" si="32"/>
        <v>-2899.2919740311372</v>
      </c>
      <c r="H579" s="1266">
        <f t="shared" si="33"/>
        <v>-2899.2919740311372</v>
      </c>
      <c r="I579" s="724">
        <f t="shared" si="34"/>
        <v>0</v>
      </c>
      <c r="J579" s="724"/>
      <c r="K579" s="869"/>
      <c r="L579" s="729"/>
      <c r="M579" s="869"/>
      <c r="N579" s="729"/>
      <c r="O579" s="729"/>
    </row>
    <row r="580" spans="3:15">
      <c r="C580" s="720">
        <f>IF(D542="","-",+C579+1)</f>
        <v>2048</v>
      </c>
      <c r="D580" s="1269">
        <f t="shared" si="31"/>
        <v>-12103.125</v>
      </c>
      <c r="E580" s="1270">
        <f t="shared" si="35"/>
        <v>-968.25</v>
      </c>
      <c r="F580" s="673">
        <f t="shared" si="30"/>
        <v>-11134.875</v>
      </c>
      <c r="G580" s="1263">
        <f t="shared" si="32"/>
        <v>-2750.7502837210495</v>
      </c>
      <c r="H580" s="1266">
        <f t="shared" si="33"/>
        <v>-2750.7502837210495</v>
      </c>
      <c r="I580" s="724">
        <f t="shared" si="34"/>
        <v>0</v>
      </c>
      <c r="J580" s="724"/>
      <c r="K580" s="869"/>
      <c r="L580" s="729"/>
      <c r="M580" s="869"/>
      <c r="N580" s="729"/>
      <c r="O580" s="729"/>
    </row>
    <row r="581" spans="3:15">
      <c r="C581" s="720">
        <f>IF(D542="","-",+C580+1)</f>
        <v>2049</v>
      </c>
      <c r="D581" s="1269">
        <f t="shared" si="31"/>
        <v>-11134.875</v>
      </c>
      <c r="E581" s="1270">
        <f t="shared" si="35"/>
        <v>-968.25</v>
      </c>
      <c r="F581" s="673">
        <f t="shared" si="30"/>
        <v>-10166.625</v>
      </c>
      <c r="G581" s="1263">
        <f t="shared" si="32"/>
        <v>-2602.2085934109618</v>
      </c>
      <c r="H581" s="1266">
        <f t="shared" si="33"/>
        <v>-2602.2085934109618</v>
      </c>
      <c r="I581" s="724">
        <f t="shared" si="34"/>
        <v>0</v>
      </c>
      <c r="J581" s="724"/>
      <c r="K581" s="869"/>
      <c r="L581" s="729"/>
      <c r="M581" s="869"/>
      <c r="N581" s="729"/>
      <c r="O581" s="729"/>
    </row>
    <row r="582" spans="3:15">
      <c r="C582" s="720">
        <f>IF(D542="","-",+C581+1)</f>
        <v>2050</v>
      </c>
      <c r="D582" s="1269">
        <f t="shared" si="31"/>
        <v>-10166.625</v>
      </c>
      <c r="E582" s="1270">
        <f t="shared" si="35"/>
        <v>-968.25</v>
      </c>
      <c r="F582" s="673">
        <f t="shared" si="30"/>
        <v>-9198.375</v>
      </c>
      <c r="G582" s="1263">
        <f t="shared" si="32"/>
        <v>-2453.6669031008746</v>
      </c>
      <c r="H582" s="1266">
        <f t="shared" si="33"/>
        <v>-2453.6669031008746</v>
      </c>
      <c r="I582" s="724">
        <f t="shared" si="34"/>
        <v>0</v>
      </c>
      <c r="J582" s="724"/>
      <c r="K582" s="869"/>
      <c r="L582" s="729"/>
      <c r="M582" s="869"/>
      <c r="N582" s="729"/>
      <c r="O582" s="729"/>
    </row>
    <row r="583" spans="3:15">
      <c r="C583" s="720">
        <f>IF(D542="","-",+C582+1)</f>
        <v>2051</v>
      </c>
      <c r="D583" s="1269">
        <f t="shared" si="31"/>
        <v>-9198.375</v>
      </c>
      <c r="E583" s="1270">
        <f t="shared" si="35"/>
        <v>-968.25</v>
      </c>
      <c r="F583" s="673">
        <f t="shared" si="30"/>
        <v>-8230.125</v>
      </c>
      <c r="G583" s="1263">
        <f t="shared" si="32"/>
        <v>-2305.1252127907874</v>
      </c>
      <c r="H583" s="1266">
        <f t="shared" si="33"/>
        <v>-2305.1252127907874</v>
      </c>
      <c r="I583" s="724">
        <f t="shared" si="34"/>
        <v>0</v>
      </c>
      <c r="J583" s="724"/>
      <c r="K583" s="869"/>
      <c r="L583" s="729"/>
      <c r="M583" s="869"/>
      <c r="N583" s="729"/>
      <c r="O583" s="729"/>
    </row>
    <row r="584" spans="3:15">
      <c r="C584" s="720">
        <f>IF(D542="","-",+C583+1)</f>
        <v>2052</v>
      </c>
      <c r="D584" s="1269">
        <f t="shared" si="31"/>
        <v>-8230.125</v>
      </c>
      <c r="E584" s="1270">
        <f t="shared" si="35"/>
        <v>-968.25</v>
      </c>
      <c r="F584" s="673">
        <f t="shared" si="30"/>
        <v>-7261.875</v>
      </c>
      <c r="G584" s="1263">
        <f t="shared" si="32"/>
        <v>-2156.5835224806997</v>
      </c>
      <c r="H584" s="1266">
        <f t="shared" si="33"/>
        <v>-2156.5835224806997</v>
      </c>
      <c r="I584" s="724">
        <f t="shared" si="34"/>
        <v>0</v>
      </c>
      <c r="J584" s="724"/>
      <c r="K584" s="869"/>
      <c r="L584" s="729"/>
      <c r="M584" s="869"/>
      <c r="N584" s="729"/>
      <c r="O584" s="729"/>
    </row>
    <row r="585" spans="3:15">
      <c r="C585" s="720">
        <f>IF(D542="","-",+C584+1)</f>
        <v>2053</v>
      </c>
      <c r="D585" s="1269">
        <f t="shared" si="31"/>
        <v>-7261.875</v>
      </c>
      <c r="E585" s="1270">
        <f t="shared" si="35"/>
        <v>-968.25</v>
      </c>
      <c r="F585" s="673">
        <f t="shared" si="30"/>
        <v>-6293.625</v>
      </c>
      <c r="G585" s="1263">
        <f t="shared" si="32"/>
        <v>-2008.0418321706122</v>
      </c>
      <c r="H585" s="1266">
        <f t="shared" si="33"/>
        <v>-2008.0418321706122</v>
      </c>
      <c r="I585" s="724">
        <f t="shared" si="34"/>
        <v>0</v>
      </c>
      <c r="J585" s="724"/>
      <c r="K585" s="869"/>
      <c r="L585" s="729"/>
      <c r="M585" s="869"/>
      <c r="N585" s="729"/>
      <c r="O585" s="729"/>
    </row>
    <row r="586" spans="3:15">
      <c r="C586" s="720">
        <f>IF(D542="","-",+C585+1)</f>
        <v>2054</v>
      </c>
      <c r="D586" s="1269">
        <f t="shared" si="31"/>
        <v>-6293.625</v>
      </c>
      <c r="E586" s="1270">
        <f t="shared" si="35"/>
        <v>-968.25</v>
      </c>
      <c r="F586" s="673">
        <f t="shared" si="30"/>
        <v>-5325.375</v>
      </c>
      <c r="G586" s="1263">
        <f t="shared" si="32"/>
        <v>-1859.5001418605248</v>
      </c>
      <c r="H586" s="1266">
        <f t="shared" si="33"/>
        <v>-1859.5001418605248</v>
      </c>
      <c r="I586" s="724">
        <f t="shared" si="34"/>
        <v>0</v>
      </c>
      <c r="J586" s="724"/>
      <c r="K586" s="869"/>
      <c r="L586" s="729"/>
      <c r="M586" s="869"/>
      <c r="N586" s="729"/>
      <c r="O586" s="729"/>
    </row>
    <row r="587" spans="3:15">
      <c r="C587" s="720">
        <f>IF(D542="","-",+C586+1)</f>
        <v>2055</v>
      </c>
      <c r="D587" s="1269">
        <f t="shared" si="31"/>
        <v>-5325.375</v>
      </c>
      <c r="E587" s="1270">
        <f t="shared" si="35"/>
        <v>-968.25</v>
      </c>
      <c r="F587" s="673">
        <f t="shared" si="30"/>
        <v>-4357.125</v>
      </c>
      <c r="G587" s="1263">
        <f t="shared" si="32"/>
        <v>-1710.9584515504373</v>
      </c>
      <c r="H587" s="1266">
        <f t="shared" si="33"/>
        <v>-1710.9584515504373</v>
      </c>
      <c r="I587" s="724">
        <f t="shared" si="34"/>
        <v>0</v>
      </c>
      <c r="J587" s="724"/>
      <c r="K587" s="869"/>
      <c r="L587" s="729"/>
      <c r="M587" s="869"/>
      <c r="N587" s="729"/>
      <c r="O587" s="729"/>
    </row>
    <row r="588" spans="3:15">
      <c r="C588" s="720">
        <f>IF(D542="","-",+C587+1)</f>
        <v>2056</v>
      </c>
      <c r="D588" s="1269">
        <f t="shared" si="31"/>
        <v>-4357.125</v>
      </c>
      <c r="E588" s="1270">
        <f t="shared" si="35"/>
        <v>-968.25</v>
      </c>
      <c r="F588" s="673">
        <f t="shared" si="30"/>
        <v>-3388.875</v>
      </c>
      <c r="G588" s="1263">
        <f t="shared" si="32"/>
        <v>-1562.4167612403498</v>
      </c>
      <c r="H588" s="1266">
        <f t="shared" si="33"/>
        <v>-1562.4167612403498</v>
      </c>
      <c r="I588" s="724">
        <f t="shared" si="34"/>
        <v>0</v>
      </c>
      <c r="J588" s="724"/>
      <c r="K588" s="869"/>
      <c r="L588" s="729"/>
      <c r="M588" s="869"/>
      <c r="N588" s="729"/>
      <c r="O588" s="729"/>
    </row>
    <row r="589" spans="3:15">
      <c r="C589" s="720">
        <f>IF(D542="","-",+C588+1)</f>
        <v>2057</v>
      </c>
      <c r="D589" s="1269">
        <f t="shared" si="31"/>
        <v>-3388.875</v>
      </c>
      <c r="E589" s="1270">
        <f t="shared" si="35"/>
        <v>-968.25</v>
      </c>
      <c r="F589" s="673">
        <f t="shared" si="30"/>
        <v>-2420.625</v>
      </c>
      <c r="G589" s="1263">
        <f t="shared" si="32"/>
        <v>-1413.8750709302624</v>
      </c>
      <c r="H589" s="1266">
        <f t="shared" si="33"/>
        <v>-1413.8750709302624</v>
      </c>
      <c r="I589" s="724">
        <f t="shared" si="34"/>
        <v>0</v>
      </c>
      <c r="J589" s="724"/>
      <c r="K589" s="869"/>
      <c r="L589" s="729"/>
      <c r="M589" s="869"/>
      <c r="N589" s="729"/>
      <c r="O589" s="729"/>
    </row>
    <row r="590" spans="3:15">
      <c r="C590" s="720">
        <f>IF(D542="","-",+C589+1)</f>
        <v>2058</v>
      </c>
      <c r="D590" s="1269">
        <f t="shared" si="31"/>
        <v>-2420.625</v>
      </c>
      <c r="E590" s="1270">
        <f t="shared" si="35"/>
        <v>-968.25</v>
      </c>
      <c r="F590" s="673">
        <f t="shared" si="30"/>
        <v>-1452.375</v>
      </c>
      <c r="G590" s="1263">
        <f t="shared" si="32"/>
        <v>-1265.3333806201749</v>
      </c>
      <c r="H590" s="1266">
        <f t="shared" si="33"/>
        <v>-1265.3333806201749</v>
      </c>
      <c r="I590" s="724">
        <f t="shared" si="34"/>
        <v>0</v>
      </c>
      <c r="J590" s="724"/>
      <c r="K590" s="869"/>
      <c r="L590" s="729"/>
      <c r="M590" s="869"/>
      <c r="N590" s="729"/>
      <c r="O590" s="729"/>
    </row>
    <row r="591" spans="3:15">
      <c r="C591" s="720">
        <f>IF(D542="","-",+C590+1)</f>
        <v>2059</v>
      </c>
      <c r="D591" s="1269">
        <f t="shared" si="31"/>
        <v>-1452.375</v>
      </c>
      <c r="E591" s="1270">
        <f t="shared" si="35"/>
        <v>-968.25</v>
      </c>
      <c r="F591" s="673">
        <f t="shared" si="30"/>
        <v>-484.125</v>
      </c>
      <c r="G591" s="1263">
        <f t="shared" si="32"/>
        <v>-1116.7916903100875</v>
      </c>
      <c r="H591" s="1266">
        <f t="shared" si="33"/>
        <v>-1116.7916903100875</v>
      </c>
      <c r="I591" s="724">
        <f t="shared" si="34"/>
        <v>0</v>
      </c>
      <c r="J591" s="724"/>
      <c r="K591" s="869"/>
      <c r="L591" s="729"/>
      <c r="M591" s="869"/>
      <c r="N591" s="729"/>
      <c r="O591" s="729"/>
    </row>
    <row r="592" spans="3:15">
      <c r="C592" s="720">
        <f>IF(D542="","-",+C591+1)</f>
        <v>2060</v>
      </c>
      <c r="D592" s="1269">
        <v>0</v>
      </c>
      <c r="E592" s="1270">
        <v>0</v>
      </c>
      <c r="F592" s="673">
        <f t="shared" si="30"/>
        <v>0</v>
      </c>
      <c r="G592" s="1263">
        <f t="shared" si="32"/>
        <v>0</v>
      </c>
      <c r="H592" s="1266">
        <f t="shared" si="33"/>
        <v>0</v>
      </c>
      <c r="I592" s="724">
        <f t="shared" si="34"/>
        <v>0</v>
      </c>
      <c r="J592" s="724"/>
      <c r="K592" s="869"/>
      <c r="L592" s="729"/>
      <c r="M592" s="869"/>
      <c r="N592" s="729"/>
      <c r="O592" s="729"/>
    </row>
    <row r="593" spans="3:15">
      <c r="C593" s="720">
        <f>IF(D542="","-",+C592+1)</f>
        <v>2061</v>
      </c>
      <c r="D593" s="1269">
        <v>0</v>
      </c>
      <c r="E593" s="1270">
        <v>0</v>
      </c>
      <c r="F593" s="673">
        <f t="shared" si="30"/>
        <v>0</v>
      </c>
      <c r="G593" s="1263">
        <f t="shared" si="32"/>
        <v>0</v>
      </c>
      <c r="H593" s="1266">
        <f t="shared" si="33"/>
        <v>0</v>
      </c>
      <c r="I593" s="724">
        <f t="shared" si="34"/>
        <v>0</v>
      </c>
      <c r="J593" s="724"/>
      <c r="K593" s="869"/>
      <c r="L593" s="729"/>
      <c r="M593" s="869"/>
      <c r="N593" s="729"/>
      <c r="O593" s="729"/>
    </row>
    <row r="594" spans="3:15">
      <c r="C594" s="720">
        <f>IF(D542="","-",+C593+1)</f>
        <v>2062</v>
      </c>
      <c r="D594" s="1269">
        <v>0</v>
      </c>
      <c r="E594" s="1270">
        <v>0</v>
      </c>
      <c r="F594" s="673">
        <f t="shared" si="30"/>
        <v>0</v>
      </c>
      <c r="G594" s="1263">
        <f t="shared" si="32"/>
        <v>0</v>
      </c>
      <c r="H594" s="1266">
        <f t="shared" si="33"/>
        <v>0</v>
      </c>
      <c r="I594" s="724">
        <f t="shared" si="34"/>
        <v>0</v>
      </c>
      <c r="J594" s="724"/>
      <c r="K594" s="869"/>
      <c r="L594" s="729"/>
      <c r="M594" s="869"/>
      <c r="N594" s="729"/>
      <c r="O594" s="729"/>
    </row>
    <row r="595" spans="3:15">
      <c r="C595" s="720">
        <f>IF(D542="","-",+C594+1)</f>
        <v>2063</v>
      </c>
      <c r="D595" s="1269">
        <v>0</v>
      </c>
      <c r="E595" s="1270">
        <v>0</v>
      </c>
      <c r="F595" s="673">
        <f t="shared" si="30"/>
        <v>0</v>
      </c>
      <c r="G595" s="1263">
        <f t="shared" si="32"/>
        <v>0</v>
      </c>
      <c r="H595" s="1266">
        <f t="shared" si="33"/>
        <v>0</v>
      </c>
      <c r="I595" s="724">
        <f t="shared" si="34"/>
        <v>0</v>
      </c>
      <c r="J595" s="724"/>
      <c r="K595" s="869"/>
      <c r="L595" s="729"/>
      <c r="M595" s="869"/>
      <c r="N595" s="729"/>
      <c r="O595" s="729"/>
    </row>
    <row r="596" spans="3:15">
      <c r="C596" s="720">
        <f>IF(D542="","-",+C595+1)</f>
        <v>2064</v>
      </c>
      <c r="D596" s="1269">
        <v>0</v>
      </c>
      <c r="E596" s="1270">
        <v>0</v>
      </c>
      <c r="F596" s="673">
        <f t="shared" si="30"/>
        <v>0</v>
      </c>
      <c r="G596" s="1263">
        <f t="shared" si="32"/>
        <v>0</v>
      </c>
      <c r="H596" s="1266">
        <f t="shared" si="33"/>
        <v>0</v>
      </c>
      <c r="I596" s="724">
        <f t="shared" si="34"/>
        <v>0</v>
      </c>
      <c r="J596" s="724"/>
      <c r="K596" s="869"/>
      <c r="L596" s="729"/>
      <c r="M596" s="869"/>
      <c r="N596" s="729"/>
      <c r="O596" s="729"/>
    </row>
    <row r="597" spans="3:15">
      <c r="C597" s="720">
        <f>IF(D542="","-",+C596+1)</f>
        <v>2065</v>
      </c>
      <c r="D597" s="1269">
        <v>0</v>
      </c>
      <c r="E597" s="1270">
        <v>0</v>
      </c>
      <c r="F597" s="673">
        <f t="shared" si="30"/>
        <v>0</v>
      </c>
      <c r="G597" s="1263">
        <f t="shared" si="32"/>
        <v>0</v>
      </c>
      <c r="H597" s="1266">
        <f t="shared" si="33"/>
        <v>0</v>
      </c>
      <c r="I597" s="724">
        <f t="shared" si="34"/>
        <v>0</v>
      </c>
      <c r="J597" s="724"/>
      <c r="K597" s="869"/>
      <c r="L597" s="729"/>
      <c r="M597" s="869"/>
      <c r="N597" s="729"/>
      <c r="O597" s="729"/>
    </row>
    <row r="598" spans="3:15">
      <c r="C598" s="720">
        <f>IF(D542="","-",+C597+1)</f>
        <v>2066</v>
      </c>
      <c r="D598" s="1269">
        <v>0</v>
      </c>
      <c r="E598" s="1270">
        <v>0</v>
      </c>
      <c r="F598" s="673">
        <f t="shared" si="30"/>
        <v>0</v>
      </c>
      <c r="G598" s="1263">
        <f t="shared" si="32"/>
        <v>0</v>
      </c>
      <c r="H598" s="1266">
        <f t="shared" si="33"/>
        <v>0</v>
      </c>
      <c r="I598" s="724">
        <f t="shared" si="34"/>
        <v>0</v>
      </c>
      <c r="J598" s="724"/>
      <c r="K598" s="869"/>
      <c r="L598" s="729"/>
      <c r="M598" s="869"/>
      <c r="N598" s="729"/>
      <c r="O598" s="729"/>
    </row>
    <row r="599" spans="3:15">
      <c r="C599" s="720">
        <f>IF(D542="","-",+C598+1)</f>
        <v>2067</v>
      </c>
      <c r="D599" s="1269">
        <v>0</v>
      </c>
      <c r="E599" s="1270">
        <v>0</v>
      </c>
      <c r="F599" s="673">
        <f t="shared" si="30"/>
        <v>0</v>
      </c>
      <c r="G599" s="1263">
        <f t="shared" si="32"/>
        <v>0</v>
      </c>
      <c r="H599" s="1266">
        <f t="shared" si="33"/>
        <v>0</v>
      </c>
      <c r="I599" s="724">
        <f t="shared" si="34"/>
        <v>0</v>
      </c>
      <c r="J599" s="724"/>
      <c r="K599" s="869"/>
      <c r="L599" s="729"/>
      <c r="M599" s="869"/>
      <c r="N599" s="729"/>
      <c r="O599" s="729"/>
    </row>
    <row r="600" spans="3:15">
      <c r="C600" s="720">
        <f>IF(D542="","-",+C599+1)</f>
        <v>2068</v>
      </c>
      <c r="D600" s="1269">
        <v>0</v>
      </c>
      <c r="E600" s="1270">
        <v>0</v>
      </c>
      <c r="F600" s="673">
        <f t="shared" si="30"/>
        <v>0</v>
      </c>
      <c r="G600" s="1263">
        <f t="shared" si="32"/>
        <v>0</v>
      </c>
      <c r="H600" s="1266">
        <f t="shared" si="33"/>
        <v>0</v>
      </c>
      <c r="I600" s="724">
        <f t="shared" si="34"/>
        <v>0</v>
      </c>
      <c r="J600" s="724"/>
      <c r="K600" s="869"/>
      <c r="L600" s="729"/>
      <c r="M600" s="869"/>
      <c r="N600" s="729"/>
      <c r="O600" s="729"/>
    </row>
    <row r="601" spans="3:15">
      <c r="C601" s="720">
        <f>IF(D542="","-",+C600+1)</f>
        <v>2069</v>
      </c>
      <c r="D601" s="1269">
        <v>0</v>
      </c>
      <c r="E601" s="1270">
        <v>0</v>
      </c>
      <c r="F601" s="673">
        <f t="shared" si="30"/>
        <v>0</v>
      </c>
      <c r="G601" s="1263">
        <f t="shared" si="32"/>
        <v>0</v>
      </c>
      <c r="H601" s="1266">
        <f t="shared" si="33"/>
        <v>0</v>
      </c>
      <c r="I601" s="724">
        <f t="shared" si="34"/>
        <v>0</v>
      </c>
      <c r="J601" s="724"/>
      <c r="K601" s="869"/>
      <c r="L601" s="729"/>
      <c r="M601" s="869"/>
      <c r="N601" s="729"/>
      <c r="O601" s="729"/>
    </row>
    <row r="602" spans="3:15">
      <c r="C602" s="720">
        <f>IF(D542="","-",+C601+1)</f>
        <v>2070</v>
      </c>
      <c r="D602" s="1269">
        <v>0</v>
      </c>
      <c r="E602" s="1270">
        <v>0</v>
      </c>
      <c r="F602" s="673">
        <f t="shared" si="30"/>
        <v>0</v>
      </c>
      <c r="G602" s="1263">
        <f t="shared" si="32"/>
        <v>0</v>
      </c>
      <c r="H602" s="1266">
        <f t="shared" si="33"/>
        <v>0</v>
      </c>
      <c r="I602" s="724">
        <f t="shared" si="34"/>
        <v>0</v>
      </c>
      <c r="J602" s="724"/>
      <c r="K602" s="869"/>
      <c r="L602" s="729"/>
      <c r="M602" s="869"/>
      <c r="N602" s="729"/>
      <c r="O602" s="729"/>
    </row>
    <row r="603" spans="3:15">
      <c r="C603" s="720">
        <f>IF(D542="","-",+C602+1)</f>
        <v>2071</v>
      </c>
      <c r="D603" s="1269">
        <v>0</v>
      </c>
      <c r="E603" s="1270">
        <v>0</v>
      </c>
      <c r="F603" s="673">
        <f t="shared" si="30"/>
        <v>0</v>
      </c>
      <c r="G603" s="1263">
        <f t="shared" si="32"/>
        <v>0</v>
      </c>
      <c r="H603" s="1266">
        <f t="shared" si="33"/>
        <v>0</v>
      </c>
      <c r="I603" s="724">
        <f t="shared" si="34"/>
        <v>0</v>
      </c>
      <c r="J603" s="724"/>
      <c r="K603" s="869"/>
      <c r="L603" s="729"/>
      <c r="M603" s="869"/>
      <c r="N603" s="729"/>
      <c r="O603" s="729"/>
    </row>
    <row r="604" spans="3:15">
      <c r="C604" s="720">
        <f>IF(D542="","-",+C603+1)</f>
        <v>2072</v>
      </c>
      <c r="D604" s="1269">
        <v>0</v>
      </c>
      <c r="E604" s="1270">
        <v>0</v>
      </c>
      <c r="F604" s="673">
        <f t="shared" si="30"/>
        <v>0</v>
      </c>
      <c r="G604" s="1263">
        <f t="shared" si="32"/>
        <v>0</v>
      </c>
      <c r="H604" s="1266">
        <f t="shared" si="33"/>
        <v>0</v>
      </c>
      <c r="I604" s="724">
        <f t="shared" si="34"/>
        <v>0</v>
      </c>
      <c r="J604" s="724"/>
      <c r="K604" s="869"/>
      <c r="L604" s="729"/>
      <c r="M604" s="869"/>
      <c r="N604" s="729"/>
      <c r="O604" s="729"/>
    </row>
    <row r="605" spans="3:15">
      <c r="C605" s="720">
        <f>IF(D542="","-",+C604+1)</f>
        <v>2073</v>
      </c>
      <c r="D605" s="1269">
        <v>0</v>
      </c>
      <c r="E605" s="1270">
        <v>0</v>
      </c>
      <c r="F605" s="673">
        <f t="shared" si="30"/>
        <v>0</v>
      </c>
      <c r="G605" s="1263">
        <f t="shared" si="32"/>
        <v>0</v>
      </c>
      <c r="H605" s="1266">
        <f t="shared" si="33"/>
        <v>0</v>
      </c>
      <c r="I605" s="724">
        <f t="shared" si="34"/>
        <v>0</v>
      </c>
      <c r="J605" s="724"/>
      <c r="K605" s="869"/>
      <c r="L605" s="729"/>
      <c r="M605" s="869"/>
      <c r="N605" s="729"/>
      <c r="O605" s="729"/>
    </row>
    <row r="606" spans="3:15">
      <c r="C606" s="720">
        <f>IF(D542="","-",+C605+1)</f>
        <v>2074</v>
      </c>
      <c r="D606" s="1269">
        <v>0</v>
      </c>
      <c r="E606" s="1270">
        <v>0</v>
      </c>
      <c r="F606" s="673">
        <f t="shared" si="30"/>
        <v>0</v>
      </c>
      <c r="G606" s="1263">
        <f t="shared" si="32"/>
        <v>0</v>
      </c>
      <c r="H606" s="1266">
        <f t="shared" si="33"/>
        <v>0</v>
      </c>
      <c r="I606" s="724">
        <f t="shared" si="34"/>
        <v>0</v>
      </c>
      <c r="J606" s="724"/>
      <c r="K606" s="869"/>
      <c r="L606" s="729"/>
      <c r="M606" s="869"/>
      <c r="N606" s="729"/>
      <c r="O606" s="729"/>
    </row>
    <row r="607" spans="3:15" ht="13.5" thickBot="1">
      <c r="C607" s="730">
        <f>IF(D542="","-",+C606+1)</f>
        <v>2075</v>
      </c>
      <c r="D607" s="1282">
        <v>0</v>
      </c>
      <c r="E607" s="1283">
        <v>0</v>
      </c>
      <c r="F607" s="731">
        <f t="shared" si="30"/>
        <v>0</v>
      </c>
      <c r="G607" s="1274">
        <f t="shared" si="32"/>
        <v>0</v>
      </c>
      <c r="H607" s="1274">
        <f t="shared" si="33"/>
        <v>0</v>
      </c>
      <c r="I607" s="734">
        <f t="shared" si="34"/>
        <v>0</v>
      </c>
      <c r="J607" s="724"/>
      <c r="K607" s="870"/>
      <c r="L607" s="736"/>
      <c r="M607" s="870"/>
      <c r="N607" s="736"/>
      <c r="O607" s="736"/>
    </row>
    <row r="608" spans="3:15">
      <c r="C608" s="673" t="s">
        <v>288</v>
      </c>
      <c r="D608" s="1242"/>
      <c r="E608" s="673"/>
      <c r="F608" s="1242"/>
      <c r="G608" s="1242">
        <f>SUM(G548:G607)</f>
        <v>-189138.01298440908</v>
      </c>
      <c r="H608" s="1242">
        <f>SUM(H548:H607)</f>
        <v>-189138.01298440908</v>
      </c>
      <c r="I608" s="1242">
        <f>SUM(I548:I607)</f>
        <v>0</v>
      </c>
      <c r="J608" s="1242"/>
      <c r="K608" s="1242"/>
      <c r="L608" s="1242"/>
      <c r="M608" s="1242"/>
      <c r="N608" s="1242"/>
      <c r="O608" s="542"/>
    </row>
    <row r="609" spans="1:16">
      <c r="D609" s="563"/>
      <c r="E609" s="542"/>
      <c r="F609" s="542"/>
      <c r="G609" s="542"/>
      <c r="H609" s="1241"/>
      <c r="I609" s="1241"/>
      <c r="J609" s="1242"/>
      <c r="K609" s="1241"/>
      <c r="L609" s="1241"/>
      <c r="M609" s="1241"/>
      <c r="N609" s="1241"/>
      <c r="O609" s="542"/>
    </row>
    <row r="610" spans="1:16">
      <c r="C610" s="542" t="s">
        <v>595</v>
      </c>
      <c r="D610" s="563"/>
      <c r="E610" s="542"/>
      <c r="F610" s="542"/>
      <c r="G610" s="542"/>
      <c r="H610" s="1241"/>
      <c r="I610" s="1241"/>
      <c r="J610" s="1242"/>
      <c r="K610" s="1241"/>
      <c r="L610" s="1241"/>
      <c r="M610" s="1241"/>
      <c r="N610" s="1241"/>
      <c r="O610" s="542"/>
    </row>
    <row r="611" spans="1:16">
      <c r="C611" s="542"/>
      <c r="D611" s="563"/>
      <c r="E611" s="542"/>
      <c r="F611" s="542"/>
      <c r="G611" s="542"/>
      <c r="H611" s="1241"/>
      <c r="I611" s="1241"/>
      <c r="J611" s="1242"/>
      <c r="K611" s="1241"/>
      <c r="L611" s="1241"/>
      <c r="M611" s="1241"/>
      <c r="N611" s="1241"/>
      <c r="O611" s="542"/>
    </row>
    <row r="612" spans="1:16">
      <c r="C612" s="684" t="s">
        <v>934</v>
      </c>
      <c r="D612" s="673"/>
      <c r="E612" s="673"/>
      <c r="F612" s="673"/>
      <c r="G612" s="1242"/>
      <c r="H612" s="1242"/>
      <c r="I612" s="674"/>
      <c r="J612" s="674"/>
      <c r="K612" s="674"/>
      <c r="L612" s="674"/>
      <c r="M612" s="674"/>
      <c r="N612" s="674"/>
      <c r="O612" s="542"/>
    </row>
    <row r="613" spans="1:16">
      <c r="C613" s="684" t="s">
        <v>476</v>
      </c>
      <c r="D613" s="673"/>
      <c r="E613" s="673"/>
      <c r="F613" s="673"/>
      <c r="G613" s="1242"/>
      <c r="H613" s="1242"/>
      <c r="I613" s="674"/>
      <c r="J613" s="674"/>
      <c r="K613" s="674"/>
      <c r="L613" s="674"/>
      <c r="M613" s="674"/>
      <c r="N613" s="674"/>
      <c r="O613" s="542"/>
    </row>
    <row r="614" spans="1:16">
      <c r="C614" s="672" t="s">
        <v>289</v>
      </c>
      <c r="D614" s="673"/>
      <c r="E614" s="673"/>
      <c r="F614" s="673"/>
      <c r="G614" s="1242"/>
      <c r="H614" s="1242"/>
      <c r="I614" s="674"/>
      <c r="J614" s="674"/>
      <c r="K614" s="674"/>
      <c r="L614" s="674"/>
      <c r="M614" s="674"/>
      <c r="N614" s="674"/>
      <c r="O614" s="542"/>
    </row>
    <row r="615" spans="1:16">
      <c r="C615" s="672"/>
      <c r="D615" s="673"/>
      <c r="E615" s="673"/>
      <c r="F615" s="673"/>
      <c r="G615" s="1242"/>
      <c r="H615" s="1242"/>
      <c r="I615" s="674"/>
      <c r="J615" s="674"/>
      <c r="K615" s="674"/>
      <c r="L615" s="674"/>
      <c r="M615" s="674"/>
      <c r="N615" s="674"/>
      <c r="O615" s="542"/>
    </row>
    <row r="616" spans="1:16">
      <c r="C616" s="1701" t="s">
        <v>460</v>
      </c>
      <c r="D616" s="1701"/>
      <c r="E616" s="1701"/>
      <c r="F616" s="1701"/>
      <c r="G616" s="1701"/>
      <c r="H616" s="1701"/>
      <c r="I616" s="1701"/>
      <c r="J616" s="1701"/>
      <c r="K616" s="1701"/>
      <c r="L616" s="1701"/>
      <c r="M616" s="1701"/>
      <c r="N616" s="1701"/>
      <c r="O616" s="1701"/>
    </row>
    <row r="617" spans="1:16">
      <c r="C617" s="1701"/>
      <c r="D617" s="1701"/>
      <c r="E617" s="1701"/>
      <c r="F617" s="1701"/>
      <c r="G617" s="1701"/>
      <c r="H617" s="1701"/>
      <c r="I617" s="1701"/>
      <c r="J617" s="1701"/>
      <c r="K617" s="1701"/>
      <c r="L617" s="1701"/>
      <c r="M617" s="1701"/>
      <c r="N617" s="1701"/>
      <c r="O617" s="1701"/>
    </row>
    <row r="618" spans="1:16" ht="20.25">
      <c r="A618" s="675" t="s">
        <v>931</v>
      </c>
      <c r="B618" s="576"/>
      <c r="C618" s="655"/>
      <c r="D618" s="563"/>
      <c r="E618" s="542"/>
      <c r="F618" s="645"/>
      <c r="G618" s="542"/>
      <c r="H618" s="1241"/>
      <c r="K618" s="676"/>
      <c r="L618" s="676"/>
      <c r="M618" s="676"/>
      <c r="N618" s="591" t="str">
        <f>"Page "&amp;SUM(P$6:P618)&amp;" of "</f>
        <v xml:space="preserve">Page 7 of </v>
      </c>
      <c r="O618" s="592">
        <f>COUNT(P$6:P$59579)</f>
        <v>22</v>
      </c>
      <c r="P618" s="542">
        <v>1</v>
      </c>
    </row>
    <row r="619" spans="1:16">
      <c r="B619" s="576"/>
      <c r="C619" s="542"/>
      <c r="D619" s="563"/>
      <c r="E619" s="542"/>
      <c r="F619" s="542"/>
      <c r="G619" s="542"/>
      <c r="H619" s="1241"/>
      <c r="I619" s="542"/>
      <c r="J619" s="588"/>
      <c r="K619" s="542"/>
      <c r="L619" s="542"/>
      <c r="M619" s="542"/>
      <c r="N619" s="542"/>
      <c r="O619" s="542"/>
    </row>
    <row r="620" spans="1:16" ht="18">
      <c r="B620" s="595" t="s">
        <v>174</v>
      </c>
      <c r="C620" s="677" t="s">
        <v>290</v>
      </c>
      <c r="D620" s="563"/>
      <c r="E620" s="542"/>
      <c r="F620" s="542"/>
      <c r="G620" s="542"/>
      <c r="H620" s="1241"/>
      <c r="I620" s="1241"/>
      <c r="J620" s="1242"/>
      <c r="K620" s="1241"/>
      <c r="L620" s="1241"/>
      <c r="M620" s="1241"/>
      <c r="N620" s="1241"/>
      <c r="O620" s="542"/>
    </row>
    <row r="621" spans="1:16" ht="18.75">
      <c r="B621" s="595"/>
      <c r="C621" s="594"/>
      <c r="D621" s="563"/>
      <c r="E621" s="542"/>
      <c r="F621" s="542"/>
      <c r="G621" s="542"/>
      <c r="H621" s="1241"/>
      <c r="I621" s="1241"/>
      <c r="J621" s="1242"/>
      <c r="K621" s="1241"/>
      <c r="L621" s="1241"/>
      <c r="M621" s="1241"/>
      <c r="N621" s="1241"/>
      <c r="O621" s="542"/>
    </row>
    <row r="622" spans="1:16" ht="18.75">
      <c r="B622" s="595"/>
      <c r="C622" s="594" t="s">
        <v>291</v>
      </c>
      <c r="D622" s="563"/>
      <c r="E622" s="542"/>
      <c r="F622" s="542"/>
      <c r="G622" s="542"/>
      <c r="H622" s="1241"/>
      <c r="I622" s="1241"/>
      <c r="J622" s="1242"/>
      <c r="K622" s="1241"/>
      <c r="L622" s="1241"/>
      <c r="M622" s="1241"/>
      <c r="N622" s="1241"/>
      <c r="O622" s="542"/>
    </row>
    <row r="623" spans="1:16" ht="15.75" thickBot="1">
      <c r="C623" s="396"/>
      <c r="D623" s="563"/>
      <c r="E623" s="542"/>
      <c r="F623" s="542"/>
      <c r="G623" s="542"/>
      <c r="H623" s="1241"/>
      <c r="I623" s="1241"/>
      <c r="J623" s="1242"/>
      <c r="K623" s="1241"/>
      <c r="L623" s="1241"/>
      <c r="M623" s="1241"/>
      <c r="N623" s="1241"/>
      <c r="O623" s="542"/>
    </row>
    <row r="624" spans="1:16" ht="15.75">
      <c r="C624" s="596" t="s">
        <v>292</v>
      </c>
      <c r="D624" s="563"/>
      <c r="E624" s="542"/>
      <c r="F624" s="542"/>
      <c r="G624" s="1276"/>
      <c r="H624" s="542" t="s">
        <v>271</v>
      </c>
      <c r="I624" s="542"/>
      <c r="J624" s="588"/>
      <c r="K624" s="678" t="s">
        <v>296</v>
      </c>
      <c r="L624" s="679"/>
      <c r="M624" s="680"/>
      <c r="N624" s="1244">
        <f>VLOOKUP(I630,C637:O696,5)</f>
        <v>640684.70454717462</v>
      </c>
      <c r="O624" s="542"/>
    </row>
    <row r="625" spans="1:15" ht="15.75">
      <c r="C625" s="596"/>
      <c r="D625" s="563"/>
      <c r="E625" s="542"/>
      <c r="F625" s="542"/>
      <c r="G625" s="542"/>
      <c r="H625" s="1245"/>
      <c r="I625" s="1245"/>
      <c r="J625" s="1246"/>
      <c r="K625" s="683" t="s">
        <v>297</v>
      </c>
      <c r="L625" s="1247"/>
      <c r="M625" s="588"/>
      <c r="N625" s="1248">
        <f>VLOOKUP(I630,C637:O696,6)</f>
        <v>640684.70454717462</v>
      </c>
      <c r="O625" s="542"/>
    </row>
    <row r="626" spans="1:15" ht="13.5" thickBot="1">
      <c r="C626" s="684" t="s">
        <v>293</v>
      </c>
      <c r="D626" s="1284" t="s">
        <v>940</v>
      </c>
      <c r="E626" s="1281"/>
      <c r="F626" s="1281"/>
      <c r="G626" s="1281"/>
      <c r="H626" s="872"/>
      <c r="I626" s="872"/>
      <c r="J626" s="1242"/>
      <c r="K626" s="1249" t="s">
        <v>450</v>
      </c>
      <c r="L626" s="1250"/>
      <c r="M626" s="1250"/>
      <c r="N626" s="1251">
        <f>+N625-N624</f>
        <v>0</v>
      </c>
      <c r="O626" s="542"/>
    </row>
    <row r="627" spans="1:15">
      <c r="C627" s="686"/>
      <c r="D627" s="687"/>
      <c r="E627" s="671"/>
      <c r="F627" s="671"/>
      <c r="G627" s="688"/>
      <c r="H627" s="1241"/>
      <c r="I627" s="1241"/>
      <c r="J627" s="1242"/>
      <c r="K627" s="1241"/>
      <c r="L627" s="1241"/>
      <c r="M627" s="1241"/>
      <c r="N627" s="1241"/>
      <c r="O627" s="542"/>
    </row>
    <row r="628" spans="1:15" ht="13.5" thickBot="1">
      <c r="C628" s="689"/>
      <c r="D628" s="1252"/>
      <c r="E628" s="688"/>
      <c r="F628" s="688"/>
      <c r="G628" s="688"/>
      <c r="H628" s="688"/>
      <c r="I628" s="688"/>
      <c r="J628" s="691"/>
      <c r="K628" s="688"/>
      <c r="L628" s="688"/>
      <c r="M628" s="688"/>
      <c r="N628" s="688"/>
      <c r="O628" s="576"/>
    </row>
    <row r="629" spans="1:15" ht="13.5" thickBot="1">
      <c r="C629" s="692" t="s">
        <v>294</v>
      </c>
      <c r="D629" s="693"/>
      <c r="E629" s="693"/>
      <c r="F629" s="693"/>
      <c r="G629" s="693"/>
      <c r="H629" s="693"/>
      <c r="I629" s="694"/>
      <c r="J629" s="695"/>
      <c r="K629" s="542"/>
      <c r="L629" s="542"/>
      <c r="M629" s="542"/>
      <c r="N629" s="542"/>
      <c r="O629" s="696"/>
    </row>
    <row r="630" spans="1:15" ht="15">
      <c r="C630" s="697" t="s">
        <v>272</v>
      </c>
      <c r="D630" s="1253">
        <v>4007566</v>
      </c>
      <c r="E630" s="655" t="s">
        <v>273</v>
      </c>
      <c r="G630" s="698"/>
      <c r="H630" s="698"/>
      <c r="I630" s="699">
        <v>2018</v>
      </c>
      <c r="J630" s="586"/>
      <c r="K630" s="1702" t="s">
        <v>459</v>
      </c>
      <c r="L630" s="1702"/>
      <c r="M630" s="1702"/>
      <c r="N630" s="1702"/>
      <c r="O630" s="1702"/>
    </row>
    <row r="631" spans="1:15">
      <c r="C631" s="697" t="s">
        <v>275</v>
      </c>
      <c r="D631" s="865">
        <v>2013</v>
      </c>
      <c r="E631" s="697" t="s">
        <v>276</v>
      </c>
      <c r="F631" s="698"/>
      <c r="H631" s="330"/>
      <c r="I631" s="1254">
        <f>IF(G624="",0,$F$15)</f>
        <v>0</v>
      </c>
      <c r="J631" s="700"/>
      <c r="K631" s="1242" t="s">
        <v>459</v>
      </c>
    </row>
    <row r="632" spans="1:15">
      <c r="C632" s="697" t="s">
        <v>277</v>
      </c>
      <c r="D632" s="1253">
        <v>10</v>
      </c>
      <c r="E632" s="697" t="s">
        <v>278</v>
      </c>
      <c r="F632" s="698"/>
      <c r="H632" s="330"/>
      <c r="I632" s="701">
        <f>$G$70</f>
        <v>0.15341253840442806</v>
      </c>
      <c r="J632" s="702"/>
      <c r="K632" s="330" t="str">
        <f>"          INPUT PROJECTED ARR (WITH &amp; WITHOUT INCENTIVES) FROM EACH PRIOR YEAR"</f>
        <v xml:space="preserve">          INPUT PROJECTED ARR (WITH &amp; WITHOUT INCENTIVES) FROM EACH PRIOR YEAR</v>
      </c>
    </row>
    <row r="633" spans="1:15">
      <c r="C633" s="697" t="s">
        <v>279</v>
      </c>
      <c r="D633" s="703">
        <f>G$79</f>
        <v>44</v>
      </c>
      <c r="E633" s="697" t="s">
        <v>280</v>
      </c>
      <c r="F633" s="698"/>
      <c r="H633" s="330"/>
      <c r="I633" s="701">
        <f>IF(G624="",I632,$G$67)</f>
        <v>0.15341253840442806</v>
      </c>
      <c r="J633" s="704"/>
      <c r="K633" s="330" t="s">
        <v>357</v>
      </c>
    </row>
    <row r="634" spans="1:15" ht="13.5" thickBot="1">
      <c r="C634" s="697" t="s">
        <v>281</v>
      </c>
      <c r="D634" s="866" t="s">
        <v>933</v>
      </c>
      <c r="E634" s="705" t="s">
        <v>282</v>
      </c>
      <c r="F634" s="706"/>
      <c r="G634" s="707"/>
      <c r="H634" s="707"/>
      <c r="I634" s="1251">
        <f>IF(D630=0,0,D630/D633)</f>
        <v>91081.045454545456</v>
      </c>
      <c r="J634" s="1242"/>
      <c r="K634" s="1242" t="s">
        <v>363</v>
      </c>
      <c r="L634" s="1242"/>
      <c r="M634" s="1242"/>
      <c r="N634" s="1242"/>
      <c r="O634" s="588"/>
    </row>
    <row r="635" spans="1:15" ht="51">
      <c r="A635" s="529"/>
      <c r="B635" s="1255"/>
      <c r="C635" s="708" t="s">
        <v>272</v>
      </c>
      <c r="D635" s="1256" t="s">
        <v>283</v>
      </c>
      <c r="E635" s="1257" t="s">
        <v>284</v>
      </c>
      <c r="F635" s="1256" t="s">
        <v>285</v>
      </c>
      <c r="G635" s="1257" t="s">
        <v>356</v>
      </c>
      <c r="H635" s="1258" t="s">
        <v>356</v>
      </c>
      <c r="I635" s="708" t="s">
        <v>295</v>
      </c>
      <c r="J635" s="712"/>
      <c r="K635" s="1257" t="s">
        <v>365</v>
      </c>
      <c r="L635" s="1259"/>
      <c r="M635" s="1257" t="s">
        <v>365</v>
      </c>
      <c r="N635" s="1259"/>
      <c r="O635" s="1259"/>
    </row>
    <row r="636" spans="1:15" ht="13.5" thickBot="1">
      <c r="C636" s="714" t="s">
        <v>177</v>
      </c>
      <c r="D636" s="715" t="s">
        <v>178</v>
      </c>
      <c r="E636" s="714" t="s">
        <v>37</v>
      </c>
      <c r="F636" s="715" t="s">
        <v>178</v>
      </c>
      <c r="G636" s="1260" t="s">
        <v>298</v>
      </c>
      <c r="H636" s="1261" t="s">
        <v>300</v>
      </c>
      <c r="I636" s="718" t="s">
        <v>389</v>
      </c>
      <c r="J636" s="719"/>
      <c r="K636" s="1260" t="s">
        <v>287</v>
      </c>
      <c r="L636" s="1262"/>
      <c r="M636" s="1260" t="s">
        <v>300</v>
      </c>
      <c r="N636" s="1262"/>
      <c r="O636" s="1262"/>
    </row>
    <row r="637" spans="1:15">
      <c r="C637" s="720">
        <f>IF(D631= "","-",D631)</f>
        <v>2013</v>
      </c>
      <c r="D637" s="673">
        <f>+D630</f>
        <v>4007566</v>
      </c>
      <c r="E637" s="1263">
        <f>+I634/12*(12-D632)</f>
        <v>15180.174242424242</v>
      </c>
      <c r="F637" s="673">
        <f t="shared" ref="F637:F696" si="36">+D637-E637</f>
        <v>3992385.8257575757</v>
      </c>
      <c r="G637" s="1264">
        <f>+$I$632*((D637+F637)/2)+E637</f>
        <v>628826.63259372849</v>
      </c>
      <c r="H637" s="1265">
        <f>$I$633*((D637+F637)/2)+E637</f>
        <v>628826.63259372849</v>
      </c>
      <c r="I637" s="724">
        <f>+H637-G637</f>
        <v>0</v>
      </c>
      <c r="J637" s="724"/>
      <c r="K637" s="868">
        <v>9.9999999999999995E-7</v>
      </c>
      <c r="L637" s="725"/>
      <c r="M637" s="868">
        <v>9.9999999999999995E-7</v>
      </c>
      <c r="N637" s="725"/>
      <c r="O637" s="725"/>
    </row>
    <row r="638" spans="1:15">
      <c r="C638" s="720">
        <f>IF(D631="","-",+C637+1)</f>
        <v>2014</v>
      </c>
      <c r="D638" s="673">
        <f t="shared" ref="D638:D696" si="37">F637</f>
        <v>3992385.8257575757</v>
      </c>
      <c r="E638" s="726">
        <f>IF(D638&gt;$I$634,$I$634,D638)</f>
        <v>91081.045454545456</v>
      </c>
      <c r="F638" s="673">
        <f t="shared" si="36"/>
        <v>3901304.7803030303</v>
      </c>
      <c r="G638" s="1263">
        <f t="shared" ref="G638:G696" si="38">+$I$632*((D638+F638)/2)+E638</f>
        <v>696576.60208201827</v>
      </c>
      <c r="H638" s="1266">
        <f t="shared" ref="H638:H696" si="39">$I$633*((D638+F638)/2)+E638</f>
        <v>696576.60208201827</v>
      </c>
      <c r="I638" s="724">
        <f t="shared" ref="I638:I696" si="40">+H638-G638</f>
        <v>0</v>
      </c>
      <c r="J638" s="724"/>
      <c r="K638" s="869">
        <v>7389592</v>
      </c>
      <c r="L638" s="729"/>
      <c r="M638" s="869">
        <v>7389592</v>
      </c>
      <c r="N638" s="729"/>
      <c r="O638" s="729"/>
    </row>
    <row r="639" spans="1:15">
      <c r="C639" s="720">
        <f>IF(D631="","-",+C638+1)</f>
        <v>2015</v>
      </c>
      <c r="D639" s="673">
        <f t="shared" si="37"/>
        <v>3901304.7803030303</v>
      </c>
      <c r="E639" s="726">
        <f t="shared" ref="E639:E696" si="41">IF(D639&gt;$I$634,$I$634,D639)</f>
        <v>91081.045454545456</v>
      </c>
      <c r="F639" s="673">
        <f t="shared" si="36"/>
        <v>3810223.7348484849</v>
      </c>
      <c r="G639" s="1285">
        <f t="shared" si="38"/>
        <v>682603.62769830739</v>
      </c>
      <c r="H639" s="1266">
        <f t="shared" si="39"/>
        <v>682603.62769830739</v>
      </c>
      <c r="I639" s="724">
        <f t="shared" si="40"/>
        <v>0</v>
      </c>
      <c r="J639" s="724"/>
      <c r="K639" s="869">
        <v>583939</v>
      </c>
      <c r="L639" s="729"/>
      <c r="M639" s="869">
        <v>583939</v>
      </c>
      <c r="N639" s="729"/>
      <c r="O639" s="729"/>
    </row>
    <row r="640" spans="1:15">
      <c r="C640" s="720">
        <f>IF(D631="","-",+C639+1)</f>
        <v>2016</v>
      </c>
      <c r="D640" s="673">
        <f t="shared" si="37"/>
        <v>3810223.7348484849</v>
      </c>
      <c r="E640" s="726">
        <f t="shared" si="41"/>
        <v>91081.045454545456</v>
      </c>
      <c r="F640" s="673">
        <f t="shared" si="36"/>
        <v>3719142.6893939395</v>
      </c>
      <c r="G640" s="1263">
        <f t="shared" si="38"/>
        <v>668630.65331459639</v>
      </c>
      <c r="H640" s="1266">
        <f t="shared" si="39"/>
        <v>668630.65331459639</v>
      </c>
      <c r="I640" s="724">
        <f t="shared" si="40"/>
        <v>0</v>
      </c>
      <c r="J640" s="724"/>
      <c r="K640" s="869">
        <v>662503</v>
      </c>
      <c r="L640" s="729"/>
      <c r="M640" s="869">
        <v>662503</v>
      </c>
      <c r="N640" s="729"/>
      <c r="O640" s="729"/>
    </row>
    <row r="641" spans="3:15">
      <c r="C641" s="720">
        <f>IF(D631="","-",+C640+1)</f>
        <v>2017</v>
      </c>
      <c r="D641" s="673">
        <f t="shared" si="37"/>
        <v>3719142.6893939395</v>
      </c>
      <c r="E641" s="726">
        <f t="shared" si="41"/>
        <v>91081.045454545456</v>
      </c>
      <c r="F641" s="673">
        <f t="shared" si="36"/>
        <v>3628061.643939394</v>
      </c>
      <c r="G641" s="1263">
        <f t="shared" si="38"/>
        <v>654657.67893088562</v>
      </c>
      <c r="H641" s="1266">
        <f t="shared" si="39"/>
        <v>654657.67893088562</v>
      </c>
      <c r="I641" s="724">
        <f t="shared" si="40"/>
        <v>0</v>
      </c>
      <c r="J641" s="724"/>
      <c r="K641" s="869">
        <v>750034</v>
      </c>
      <c r="L641" s="729"/>
      <c r="M641" s="869">
        <v>750034</v>
      </c>
      <c r="N641" s="729"/>
      <c r="O641" s="729"/>
    </row>
    <row r="642" spans="3:15">
      <c r="C642" s="1268">
        <f>IF(D631="","-",+C641+1)</f>
        <v>2018</v>
      </c>
      <c r="D642" s="1269">
        <f t="shared" si="37"/>
        <v>3628061.643939394</v>
      </c>
      <c r="E642" s="1270">
        <f t="shared" si="41"/>
        <v>91081.045454545456</v>
      </c>
      <c r="F642" s="1269">
        <f t="shared" si="36"/>
        <v>3536980.5984848486</v>
      </c>
      <c r="G642" s="1271">
        <f t="shared" si="38"/>
        <v>640684.70454717462</v>
      </c>
      <c r="H642" s="1272">
        <f t="shared" si="39"/>
        <v>640684.70454717462</v>
      </c>
      <c r="I642" s="1273">
        <f t="shared" si="40"/>
        <v>0</v>
      </c>
      <c r="J642" s="724"/>
      <c r="K642" s="869"/>
      <c r="L642" s="729"/>
      <c r="M642" s="869"/>
      <c r="N642" s="729"/>
      <c r="O642" s="729"/>
    </row>
    <row r="643" spans="3:15">
      <c r="C643" s="720">
        <f>IF(D631="","-",+C642+1)</f>
        <v>2019</v>
      </c>
      <c r="D643" s="673">
        <f t="shared" si="37"/>
        <v>3536980.5984848486</v>
      </c>
      <c r="E643" s="726">
        <f t="shared" si="41"/>
        <v>91081.045454545456</v>
      </c>
      <c r="F643" s="673">
        <f t="shared" si="36"/>
        <v>3445899.5530303032</v>
      </c>
      <c r="G643" s="1263">
        <f t="shared" si="38"/>
        <v>626711.73016346374</v>
      </c>
      <c r="H643" s="1266">
        <f t="shared" si="39"/>
        <v>626711.73016346374</v>
      </c>
      <c r="I643" s="724">
        <f t="shared" si="40"/>
        <v>0</v>
      </c>
      <c r="J643" s="724"/>
      <c r="K643" s="869"/>
      <c r="L643" s="729"/>
      <c r="M643" s="869"/>
      <c r="N643" s="729"/>
      <c r="O643" s="729"/>
    </row>
    <row r="644" spans="3:15">
      <c r="C644" s="720">
        <f>IF(D631="","-",+C643+1)</f>
        <v>2020</v>
      </c>
      <c r="D644" s="673">
        <f t="shared" si="37"/>
        <v>3445899.5530303032</v>
      </c>
      <c r="E644" s="726">
        <f t="shared" si="41"/>
        <v>91081.045454545456</v>
      </c>
      <c r="F644" s="673">
        <f t="shared" si="36"/>
        <v>3354818.5075757578</v>
      </c>
      <c r="G644" s="1263">
        <f t="shared" si="38"/>
        <v>612738.75577975286</v>
      </c>
      <c r="H644" s="1266">
        <f t="shared" si="39"/>
        <v>612738.75577975286</v>
      </c>
      <c r="I644" s="724">
        <f t="shared" si="40"/>
        <v>0</v>
      </c>
      <c r="J644" s="724"/>
      <c r="K644" s="869"/>
      <c r="L644" s="729"/>
      <c r="M644" s="869"/>
      <c r="N644" s="729"/>
      <c r="O644" s="729"/>
    </row>
    <row r="645" spans="3:15">
      <c r="C645" s="720">
        <f>IF(D631="","-",+C644+1)</f>
        <v>2021</v>
      </c>
      <c r="D645" s="673">
        <f t="shared" si="37"/>
        <v>3354818.5075757578</v>
      </c>
      <c r="E645" s="726">
        <f t="shared" si="41"/>
        <v>91081.045454545456</v>
      </c>
      <c r="F645" s="673">
        <f t="shared" si="36"/>
        <v>3263737.4621212124</v>
      </c>
      <c r="G645" s="1263">
        <f t="shared" si="38"/>
        <v>598765.78139604197</v>
      </c>
      <c r="H645" s="1266">
        <f t="shared" si="39"/>
        <v>598765.78139604197</v>
      </c>
      <c r="I645" s="724">
        <f t="shared" si="40"/>
        <v>0</v>
      </c>
      <c r="J645" s="724"/>
      <c r="K645" s="869"/>
      <c r="L645" s="729"/>
      <c r="M645" s="869"/>
      <c r="N645" s="729"/>
      <c r="O645" s="729"/>
    </row>
    <row r="646" spans="3:15">
      <c r="C646" s="720">
        <f>IF(D631="","-",+C645+1)</f>
        <v>2022</v>
      </c>
      <c r="D646" s="673">
        <f t="shared" si="37"/>
        <v>3263737.4621212124</v>
      </c>
      <c r="E646" s="726">
        <f t="shared" si="41"/>
        <v>91081.045454545456</v>
      </c>
      <c r="F646" s="673">
        <f t="shared" si="36"/>
        <v>3172656.416666667</v>
      </c>
      <c r="G646" s="1263">
        <f t="shared" si="38"/>
        <v>584792.80701233097</v>
      </c>
      <c r="H646" s="1266">
        <f t="shared" si="39"/>
        <v>584792.80701233097</v>
      </c>
      <c r="I646" s="724">
        <f t="shared" si="40"/>
        <v>0</v>
      </c>
      <c r="J646" s="724"/>
      <c r="K646" s="869"/>
      <c r="L646" s="729"/>
      <c r="M646" s="869"/>
      <c r="N646" s="729"/>
      <c r="O646" s="729"/>
    </row>
    <row r="647" spans="3:15">
      <c r="C647" s="720">
        <f>IF(D631="","-",+C646+1)</f>
        <v>2023</v>
      </c>
      <c r="D647" s="673">
        <f t="shared" si="37"/>
        <v>3172656.416666667</v>
      </c>
      <c r="E647" s="726">
        <f t="shared" si="41"/>
        <v>91081.045454545456</v>
      </c>
      <c r="F647" s="673">
        <f t="shared" si="36"/>
        <v>3081575.3712121216</v>
      </c>
      <c r="G647" s="1263">
        <f t="shared" si="38"/>
        <v>570819.83262862021</v>
      </c>
      <c r="H647" s="1266">
        <f t="shared" si="39"/>
        <v>570819.83262862021</v>
      </c>
      <c r="I647" s="724">
        <f t="shared" si="40"/>
        <v>0</v>
      </c>
      <c r="J647" s="724"/>
      <c r="K647" s="869"/>
      <c r="L647" s="729"/>
      <c r="M647" s="869"/>
      <c r="N647" s="729"/>
      <c r="O647" s="729"/>
    </row>
    <row r="648" spans="3:15">
      <c r="C648" s="720">
        <f>IF(D631="","-",+C647+1)</f>
        <v>2024</v>
      </c>
      <c r="D648" s="673">
        <f t="shared" si="37"/>
        <v>3081575.3712121216</v>
      </c>
      <c r="E648" s="726">
        <f t="shared" si="41"/>
        <v>91081.045454545456</v>
      </c>
      <c r="F648" s="673">
        <f t="shared" si="36"/>
        <v>2990494.3257575762</v>
      </c>
      <c r="G648" s="1263">
        <f t="shared" si="38"/>
        <v>556846.85824490921</v>
      </c>
      <c r="H648" s="1266">
        <f t="shared" si="39"/>
        <v>556846.85824490921</v>
      </c>
      <c r="I648" s="724">
        <f t="shared" si="40"/>
        <v>0</v>
      </c>
      <c r="J648" s="724"/>
      <c r="K648" s="869"/>
      <c r="L648" s="729"/>
      <c r="M648" s="869"/>
      <c r="N648" s="729"/>
      <c r="O648" s="729"/>
    </row>
    <row r="649" spans="3:15">
      <c r="C649" s="720">
        <f>IF(D631="","-",+C648+1)</f>
        <v>2025</v>
      </c>
      <c r="D649" s="673">
        <f t="shared" si="37"/>
        <v>2990494.3257575762</v>
      </c>
      <c r="E649" s="726">
        <f t="shared" si="41"/>
        <v>91081.045454545456</v>
      </c>
      <c r="F649" s="673">
        <f t="shared" si="36"/>
        <v>2899413.2803030307</v>
      </c>
      <c r="G649" s="1263">
        <f t="shared" si="38"/>
        <v>542873.88386119832</v>
      </c>
      <c r="H649" s="1266">
        <f t="shared" si="39"/>
        <v>542873.88386119832</v>
      </c>
      <c r="I649" s="724">
        <f t="shared" si="40"/>
        <v>0</v>
      </c>
      <c r="J649" s="724"/>
      <c r="K649" s="869"/>
      <c r="L649" s="729"/>
      <c r="M649" s="869"/>
      <c r="N649" s="729"/>
      <c r="O649" s="729"/>
    </row>
    <row r="650" spans="3:15">
      <c r="C650" s="720">
        <f>IF(D631="","-",+C649+1)</f>
        <v>2026</v>
      </c>
      <c r="D650" s="673">
        <f t="shared" si="37"/>
        <v>2899413.2803030307</v>
      </c>
      <c r="E650" s="726">
        <f t="shared" si="41"/>
        <v>91081.045454545456</v>
      </c>
      <c r="F650" s="673">
        <f t="shared" si="36"/>
        <v>2808332.2348484853</v>
      </c>
      <c r="G650" s="1263">
        <f t="shared" si="38"/>
        <v>528900.90947748744</v>
      </c>
      <c r="H650" s="1266">
        <f t="shared" si="39"/>
        <v>528900.90947748744</v>
      </c>
      <c r="I650" s="724">
        <f t="shared" si="40"/>
        <v>0</v>
      </c>
      <c r="J650" s="724"/>
      <c r="K650" s="869"/>
      <c r="L650" s="729"/>
      <c r="M650" s="869"/>
      <c r="N650" s="729"/>
      <c r="O650" s="729"/>
    </row>
    <row r="651" spans="3:15">
      <c r="C651" s="720">
        <f>IF(D631="","-",+C650+1)</f>
        <v>2027</v>
      </c>
      <c r="D651" s="673">
        <f t="shared" si="37"/>
        <v>2808332.2348484853</v>
      </c>
      <c r="E651" s="726">
        <f t="shared" si="41"/>
        <v>91081.045454545456</v>
      </c>
      <c r="F651" s="673">
        <f t="shared" si="36"/>
        <v>2717251.1893939399</v>
      </c>
      <c r="G651" s="1263">
        <f t="shared" si="38"/>
        <v>514927.93509377661</v>
      </c>
      <c r="H651" s="1266">
        <f t="shared" si="39"/>
        <v>514927.93509377661</v>
      </c>
      <c r="I651" s="724">
        <f t="shared" si="40"/>
        <v>0</v>
      </c>
      <c r="J651" s="724"/>
      <c r="K651" s="869"/>
      <c r="L651" s="729"/>
      <c r="M651" s="869"/>
      <c r="N651" s="729"/>
      <c r="O651" s="729"/>
    </row>
    <row r="652" spans="3:15">
      <c r="C652" s="720">
        <f>IF(D631="","-",+C651+1)</f>
        <v>2028</v>
      </c>
      <c r="D652" s="673">
        <f t="shared" si="37"/>
        <v>2717251.1893939399</v>
      </c>
      <c r="E652" s="726">
        <f t="shared" si="41"/>
        <v>91081.045454545456</v>
      </c>
      <c r="F652" s="673">
        <f t="shared" si="36"/>
        <v>2626170.1439393945</v>
      </c>
      <c r="G652" s="1263">
        <f t="shared" si="38"/>
        <v>500954.96071006561</v>
      </c>
      <c r="H652" s="1266">
        <f t="shared" si="39"/>
        <v>500954.96071006561</v>
      </c>
      <c r="I652" s="724">
        <f t="shared" si="40"/>
        <v>0</v>
      </c>
      <c r="J652" s="724"/>
      <c r="K652" s="869"/>
      <c r="L652" s="729"/>
      <c r="M652" s="869"/>
      <c r="N652" s="729"/>
      <c r="O652" s="729"/>
    </row>
    <row r="653" spans="3:15">
      <c r="C653" s="720">
        <f>IF(D631="","-",+C652+1)</f>
        <v>2029</v>
      </c>
      <c r="D653" s="673">
        <f t="shared" si="37"/>
        <v>2626170.1439393945</v>
      </c>
      <c r="E653" s="726">
        <f t="shared" si="41"/>
        <v>91081.045454545456</v>
      </c>
      <c r="F653" s="673">
        <f t="shared" si="36"/>
        <v>2535089.0984848491</v>
      </c>
      <c r="G653" s="1263">
        <f t="shared" si="38"/>
        <v>486981.98632635479</v>
      </c>
      <c r="H653" s="1266">
        <f t="shared" si="39"/>
        <v>486981.98632635479</v>
      </c>
      <c r="I653" s="724">
        <f t="shared" si="40"/>
        <v>0</v>
      </c>
      <c r="J653" s="724"/>
      <c r="K653" s="869"/>
      <c r="L653" s="729"/>
      <c r="M653" s="869"/>
      <c r="N653" s="729"/>
      <c r="O653" s="729"/>
    </row>
    <row r="654" spans="3:15">
      <c r="C654" s="720">
        <f>IF(D631="","-",+C653+1)</f>
        <v>2030</v>
      </c>
      <c r="D654" s="673">
        <f t="shared" si="37"/>
        <v>2535089.0984848491</v>
      </c>
      <c r="E654" s="726">
        <f t="shared" si="41"/>
        <v>91081.045454545456</v>
      </c>
      <c r="F654" s="673">
        <f t="shared" si="36"/>
        <v>2444008.0530303037</v>
      </c>
      <c r="G654" s="1263">
        <f t="shared" si="38"/>
        <v>473009.01194264379</v>
      </c>
      <c r="H654" s="1266">
        <f t="shared" si="39"/>
        <v>473009.01194264379</v>
      </c>
      <c r="I654" s="724">
        <f t="shared" si="40"/>
        <v>0</v>
      </c>
      <c r="J654" s="724"/>
      <c r="K654" s="869"/>
      <c r="L654" s="729"/>
      <c r="M654" s="869"/>
      <c r="N654" s="729"/>
      <c r="O654" s="729"/>
    </row>
    <row r="655" spans="3:15">
      <c r="C655" s="720">
        <f>IF(D631="","-",+C654+1)</f>
        <v>2031</v>
      </c>
      <c r="D655" s="673">
        <f t="shared" si="37"/>
        <v>2444008.0530303037</v>
      </c>
      <c r="E655" s="726">
        <f t="shared" si="41"/>
        <v>91081.045454545456</v>
      </c>
      <c r="F655" s="673">
        <f t="shared" si="36"/>
        <v>2352927.0075757583</v>
      </c>
      <c r="G655" s="1263">
        <f t="shared" si="38"/>
        <v>459036.03755893296</v>
      </c>
      <c r="H655" s="1266">
        <f t="shared" si="39"/>
        <v>459036.03755893296</v>
      </c>
      <c r="I655" s="724">
        <f t="shared" si="40"/>
        <v>0</v>
      </c>
      <c r="J655" s="724"/>
      <c r="K655" s="869"/>
      <c r="L655" s="729"/>
      <c r="M655" s="869"/>
      <c r="N655" s="729"/>
      <c r="O655" s="729"/>
    </row>
    <row r="656" spans="3:15">
      <c r="C656" s="720">
        <f>IF(D631="","-",+C655+1)</f>
        <v>2032</v>
      </c>
      <c r="D656" s="673">
        <f t="shared" si="37"/>
        <v>2352927.0075757583</v>
      </c>
      <c r="E656" s="726">
        <f t="shared" si="41"/>
        <v>91081.045454545456</v>
      </c>
      <c r="F656" s="673">
        <f t="shared" si="36"/>
        <v>2261845.9621212129</v>
      </c>
      <c r="G656" s="1263">
        <f t="shared" si="38"/>
        <v>445063.06317522202</v>
      </c>
      <c r="H656" s="1266">
        <f t="shared" si="39"/>
        <v>445063.06317522202</v>
      </c>
      <c r="I656" s="724">
        <f t="shared" si="40"/>
        <v>0</v>
      </c>
      <c r="J656" s="724"/>
      <c r="K656" s="869"/>
      <c r="L656" s="729"/>
      <c r="M656" s="869"/>
      <c r="N656" s="729"/>
      <c r="O656" s="729"/>
    </row>
    <row r="657" spans="3:15">
      <c r="C657" s="720">
        <f>IF(D631="","-",+C656+1)</f>
        <v>2033</v>
      </c>
      <c r="D657" s="673">
        <f t="shared" si="37"/>
        <v>2261845.9621212129</v>
      </c>
      <c r="E657" s="726">
        <f t="shared" si="41"/>
        <v>91081.045454545456</v>
      </c>
      <c r="F657" s="673">
        <f t="shared" si="36"/>
        <v>2170764.9166666674</v>
      </c>
      <c r="G657" s="1263">
        <f t="shared" si="38"/>
        <v>431090.08879151114</v>
      </c>
      <c r="H657" s="1266">
        <f t="shared" si="39"/>
        <v>431090.08879151114</v>
      </c>
      <c r="I657" s="724">
        <f t="shared" si="40"/>
        <v>0</v>
      </c>
      <c r="J657" s="724"/>
      <c r="K657" s="869"/>
      <c r="L657" s="729"/>
      <c r="M657" s="869"/>
      <c r="N657" s="729"/>
      <c r="O657" s="729"/>
    </row>
    <row r="658" spans="3:15">
      <c r="C658" s="720">
        <f>IF(D631="","-",+C657+1)</f>
        <v>2034</v>
      </c>
      <c r="D658" s="673">
        <f t="shared" si="37"/>
        <v>2170764.9166666674</v>
      </c>
      <c r="E658" s="726">
        <f t="shared" si="41"/>
        <v>91081.045454545456</v>
      </c>
      <c r="F658" s="673">
        <f t="shared" si="36"/>
        <v>2079683.871212122</v>
      </c>
      <c r="G658" s="1263">
        <f t="shared" si="38"/>
        <v>417117.1144078002</v>
      </c>
      <c r="H658" s="1266">
        <f t="shared" si="39"/>
        <v>417117.1144078002</v>
      </c>
      <c r="I658" s="724">
        <f t="shared" si="40"/>
        <v>0</v>
      </c>
      <c r="J658" s="724"/>
      <c r="K658" s="869"/>
      <c r="L658" s="729"/>
      <c r="M658" s="869"/>
      <c r="N658" s="729"/>
      <c r="O658" s="729"/>
    </row>
    <row r="659" spans="3:15">
      <c r="C659" s="720">
        <f>IF(D631="","-",+C658+1)</f>
        <v>2035</v>
      </c>
      <c r="D659" s="673">
        <f t="shared" si="37"/>
        <v>2079683.871212122</v>
      </c>
      <c r="E659" s="726">
        <f t="shared" si="41"/>
        <v>91081.045454545456</v>
      </c>
      <c r="F659" s="673">
        <f t="shared" si="36"/>
        <v>1988602.8257575766</v>
      </c>
      <c r="G659" s="1263">
        <f t="shared" si="38"/>
        <v>403144.14002408931</v>
      </c>
      <c r="H659" s="1266">
        <f t="shared" si="39"/>
        <v>403144.14002408931</v>
      </c>
      <c r="I659" s="724">
        <f t="shared" si="40"/>
        <v>0</v>
      </c>
      <c r="J659" s="724"/>
      <c r="K659" s="869"/>
      <c r="L659" s="729"/>
      <c r="M659" s="869"/>
      <c r="N659" s="729"/>
      <c r="O659" s="729"/>
    </row>
    <row r="660" spans="3:15">
      <c r="C660" s="720">
        <f>IF(D631="","-",+C659+1)</f>
        <v>2036</v>
      </c>
      <c r="D660" s="673">
        <f t="shared" si="37"/>
        <v>1988602.8257575766</v>
      </c>
      <c r="E660" s="726">
        <f t="shared" si="41"/>
        <v>91081.045454545456</v>
      </c>
      <c r="F660" s="673">
        <f t="shared" si="36"/>
        <v>1897521.7803030312</v>
      </c>
      <c r="G660" s="1263">
        <f t="shared" si="38"/>
        <v>389171.16564037843</v>
      </c>
      <c r="H660" s="1266">
        <f t="shared" si="39"/>
        <v>389171.16564037843</v>
      </c>
      <c r="I660" s="724">
        <f t="shared" si="40"/>
        <v>0</v>
      </c>
      <c r="J660" s="724"/>
      <c r="K660" s="869"/>
      <c r="L660" s="729"/>
      <c r="M660" s="869"/>
      <c r="N660" s="729"/>
      <c r="O660" s="729"/>
    </row>
    <row r="661" spans="3:15">
      <c r="C661" s="720">
        <f>IF(D631="","-",+C660+1)</f>
        <v>2037</v>
      </c>
      <c r="D661" s="673">
        <f t="shared" si="37"/>
        <v>1897521.7803030312</v>
      </c>
      <c r="E661" s="726">
        <f t="shared" si="41"/>
        <v>91081.045454545456</v>
      </c>
      <c r="F661" s="673">
        <f t="shared" si="36"/>
        <v>1806440.7348484858</v>
      </c>
      <c r="G661" s="1263">
        <f t="shared" si="38"/>
        <v>375198.19125666749</v>
      </c>
      <c r="H661" s="1266">
        <f t="shared" si="39"/>
        <v>375198.19125666749</v>
      </c>
      <c r="I661" s="724">
        <f t="shared" si="40"/>
        <v>0</v>
      </c>
      <c r="J661" s="724"/>
      <c r="K661" s="869"/>
      <c r="L661" s="729"/>
      <c r="M661" s="869"/>
      <c r="N661" s="729"/>
      <c r="O661" s="729"/>
    </row>
    <row r="662" spans="3:15">
      <c r="C662" s="720">
        <f>IF(D631="","-",+C661+1)</f>
        <v>2038</v>
      </c>
      <c r="D662" s="673">
        <f t="shared" si="37"/>
        <v>1806440.7348484858</v>
      </c>
      <c r="E662" s="726">
        <f t="shared" si="41"/>
        <v>91081.045454545456</v>
      </c>
      <c r="F662" s="673">
        <f t="shared" si="36"/>
        <v>1715359.6893939404</v>
      </c>
      <c r="G662" s="1263">
        <f t="shared" si="38"/>
        <v>361225.2168729566</v>
      </c>
      <c r="H662" s="1266">
        <f t="shared" si="39"/>
        <v>361225.2168729566</v>
      </c>
      <c r="I662" s="724">
        <f t="shared" si="40"/>
        <v>0</v>
      </c>
      <c r="J662" s="724"/>
      <c r="K662" s="869"/>
      <c r="L662" s="729"/>
      <c r="M662" s="869"/>
      <c r="N662" s="729"/>
      <c r="O662" s="729"/>
    </row>
    <row r="663" spans="3:15">
      <c r="C663" s="720">
        <f>IF(D631="","-",+C662+1)</f>
        <v>2039</v>
      </c>
      <c r="D663" s="673">
        <f t="shared" si="37"/>
        <v>1715359.6893939404</v>
      </c>
      <c r="E663" s="726">
        <f t="shared" si="41"/>
        <v>91081.045454545456</v>
      </c>
      <c r="F663" s="673">
        <f t="shared" si="36"/>
        <v>1624278.643939395</v>
      </c>
      <c r="G663" s="1263">
        <f t="shared" si="38"/>
        <v>347252.24248924566</v>
      </c>
      <c r="H663" s="1266">
        <f t="shared" si="39"/>
        <v>347252.24248924566</v>
      </c>
      <c r="I663" s="724">
        <f t="shared" si="40"/>
        <v>0</v>
      </c>
      <c r="J663" s="724"/>
      <c r="K663" s="869"/>
      <c r="L663" s="729"/>
      <c r="M663" s="869"/>
      <c r="N663" s="729"/>
      <c r="O663" s="729"/>
    </row>
    <row r="664" spans="3:15">
      <c r="C664" s="720">
        <f>IF(D631="","-",+C663+1)</f>
        <v>2040</v>
      </c>
      <c r="D664" s="673">
        <f t="shared" si="37"/>
        <v>1624278.643939395</v>
      </c>
      <c r="E664" s="726">
        <f t="shared" si="41"/>
        <v>91081.045454545456</v>
      </c>
      <c r="F664" s="673">
        <f t="shared" si="36"/>
        <v>1533197.5984848496</v>
      </c>
      <c r="G664" s="1263">
        <f t="shared" si="38"/>
        <v>333279.26810553478</v>
      </c>
      <c r="H664" s="1266">
        <f t="shared" si="39"/>
        <v>333279.26810553478</v>
      </c>
      <c r="I664" s="724">
        <f t="shared" si="40"/>
        <v>0</v>
      </c>
      <c r="J664" s="724"/>
      <c r="K664" s="869"/>
      <c r="L664" s="729"/>
      <c r="M664" s="869"/>
      <c r="N664" s="729"/>
      <c r="O664" s="729"/>
    </row>
    <row r="665" spans="3:15">
      <c r="C665" s="720">
        <f>IF(D631="","-",+C664+1)</f>
        <v>2041</v>
      </c>
      <c r="D665" s="673">
        <f t="shared" si="37"/>
        <v>1533197.5984848496</v>
      </c>
      <c r="E665" s="726">
        <f t="shared" si="41"/>
        <v>91081.045454545456</v>
      </c>
      <c r="F665" s="673">
        <f t="shared" si="36"/>
        <v>1442116.5530303041</v>
      </c>
      <c r="G665" s="1264">
        <f t="shared" si="38"/>
        <v>319306.29372182384</v>
      </c>
      <c r="H665" s="1266">
        <f t="shared" si="39"/>
        <v>319306.29372182384</v>
      </c>
      <c r="I665" s="724">
        <f t="shared" si="40"/>
        <v>0</v>
      </c>
      <c r="J665" s="724"/>
      <c r="K665" s="869"/>
      <c r="L665" s="729"/>
      <c r="M665" s="869"/>
      <c r="N665" s="729"/>
      <c r="O665" s="729"/>
    </row>
    <row r="666" spans="3:15">
      <c r="C666" s="720">
        <f>IF(D631="","-",+C665+1)</f>
        <v>2042</v>
      </c>
      <c r="D666" s="673">
        <f t="shared" si="37"/>
        <v>1442116.5530303041</v>
      </c>
      <c r="E666" s="726">
        <f t="shared" si="41"/>
        <v>91081.045454545456</v>
      </c>
      <c r="F666" s="673">
        <f t="shared" si="36"/>
        <v>1351035.5075757587</v>
      </c>
      <c r="G666" s="1263">
        <f t="shared" si="38"/>
        <v>305333.31933811295</v>
      </c>
      <c r="H666" s="1266">
        <f t="shared" si="39"/>
        <v>305333.31933811295</v>
      </c>
      <c r="I666" s="724">
        <f t="shared" si="40"/>
        <v>0</v>
      </c>
      <c r="J666" s="724"/>
      <c r="K666" s="869"/>
      <c r="L666" s="729"/>
      <c r="M666" s="869"/>
      <c r="N666" s="729"/>
      <c r="O666" s="729"/>
    </row>
    <row r="667" spans="3:15">
      <c r="C667" s="720">
        <f>IF(D631="","-",+C666+1)</f>
        <v>2043</v>
      </c>
      <c r="D667" s="673">
        <f t="shared" si="37"/>
        <v>1351035.5075757587</v>
      </c>
      <c r="E667" s="726">
        <f t="shared" si="41"/>
        <v>91081.045454545456</v>
      </c>
      <c r="F667" s="673">
        <f t="shared" si="36"/>
        <v>1259954.4621212133</v>
      </c>
      <c r="G667" s="1263">
        <f t="shared" si="38"/>
        <v>291360.34495440207</v>
      </c>
      <c r="H667" s="1266">
        <f t="shared" si="39"/>
        <v>291360.34495440207</v>
      </c>
      <c r="I667" s="724">
        <f t="shared" si="40"/>
        <v>0</v>
      </c>
      <c r="J667" s="724"/>
      <c r="K667" s="869"/>
      <c r="L667" s="729"/>
      <c r="M667" s="869"/>
      <c r="N667" s="729"/>
      <c r="O667" s="729"/>
    </row>
    <row r="668" spans="3:15">
      <c r="C668" s="720">
        <f>IF(D631="","-",+C667+1)</f>
        <v>2044</v>
      </c>
      <c r="D668" s="673">
        <f t="shared" si="37"/>
        <v>1259954.4621212133</v>
      </c>
      <c r="E668" s="726">
        <f t="shared" si="41"/>
        <v>91081.045454545456</v>
      </c>
      <c r="F668" s="673">
        <f t="shared" si="36"/>
        <v>1168873.4166666679</v>
      </c>
      <c r="G668" s="1263">
        <f t="shared" si="38"/>
        <v>277387.37057069113</v>
      </c>
      <c r="H668" s="1266">
        <f t="shared" si="39"/>
        <v>277387.37057069113</v>
      </c>
      <c r="I668" s="724">
        <f t="shared" si="40"/>
        <v>0</v>
      </c>
      <c r="J668" s="724"/>
      <c r="K668" s="869"/>
      <c r="L668" s="729"/>
      <c r="M668" s="869"/>
      <c r="N668" s="729"/>
      <c r="O668" s="729"/>
    </row>
    <row r="669" spans="3:15">
      <c r="C669" s="720">
        <f>IF(D631="","-",+C668+1)</f>
        <v>2045</v>
      </c>
      <c r="D669" s="673">
        <f t="shared" si="37"/>
        <v>1168873.4166666679</v>
      </c>
      <c r="E669" s="726">
        <f t="shared" si="41"/>
        <v>91081.045454545456</v>
      </c>
      <c r="F669" s="673">
        <f t="shared" si="36"/>
        <v>1077792.3712121225</v>
      </c>
      <c r="G669" s="1263">
        <f t="shared" si="38"/>
        <v>263414.39618698024</v>
      </c>
      <c r="H669" s="1266">
        <f t="shared" si="39"/>
        <v>263414.39618698024</v>
      </c>
      <c r="I669" s="724">
        <f t="shared" si="40"/>
        <v>0</v>
      </c>
      <c r="J669" s="724"/>
      <c r="K669" s="869"/>
      <c r="L669" s="729"/>
      <c r="M669" s="869"/>
      <c r="N669" s="729"/>
      <c r="O669" s="729"/>
    </row>
    <row r="670" spans="3:15">
      <c r="C670" s="720">
        <f>IF(D631="","-",+C669+1)</f>
        <v>2046</v>
      </c>
      <c r="D670" s="673">
        <f t="shared" si="37"/>
        <v>1077792.3712121225</v>
      </c>
      <c r="E670" s="726">
        <f t="shared" si="41"/>
        <v>91081.045454545456</v>
      </c>
      <c r="F670" s="673">
        <f t="shared" si="36"/>
        <v>986711.32575757708</v>
      </c>
      <c r="G670" s="1263">
        <f t="shared" si="38"/>
        <v>249441.4218032693</v>
      </c>
      <c r="H670" s="1266">
        <f t="shared" si="39"/>
        <v>249441.4218032693</v>
      </c>
      <c r="I670" s="724">
        <f t="shared" si="40"/>
        <v>0</v>
      </c>
      <c r="J670" s="724"/>
      <c r="K670" s="869"/>
      <c r="L670" s="729"/>
      <c r="M670" s="869"/>
      <c r="N670" s="729"/>
      <c r="O670" s="729"/>
    </row>
    <row r="671" spans="3:15">
      <c r="C671" s="720">
        <f>IF(D631="","-",+C670+1)</f>
        <v>2047</v>
      </c>
      <c r="D671" s="673">
        <f t="shared" si="37"/>
        <v>986711.32575757708</v>
      </c>
      <c r="E671" s="726">
        <f t="shared" si="41"/>
        <v>91081.045454545456</v>
      </c>
      <c r="F671" s="673">
        <f t="shared" si="36"/>
        <v>895630.28030303167</v>
      </c>
      <c r="G671" s="1263">
        <f t="shared" si="38"/>
        <v>235468.44741955842</v>
      </c>
      <c r="H671" s="1266">
        <f t="shared" si="39"/>
        <v>235468.44741955842</v>
      </c>
      <c r="I671" s="724">
        <f t="shared" si="40"/>
        <v>0</v>
      </c>
      <c r="J671" s="724"/>
      <c r="K671" s="869"/>
      <c r="L671" s="729"/>
      <c r="M671" s="869"/>
      <c r="N671" s="729"/>
      <c r="O671" s="729"/>
    </row>
    <row r="672" spans="3:15">
      <c r="C672" s="720">
        <f>IF(D631="","-",+C671+1)</f>
        <v>2048</v>
      </c>
      <c r="D672" s="673">
        <f t="shared" si="37"/>
        <v>895630.28030303167</v>
      </c>
      <c r="E672" s="726">
        <f t="shared" si="41"/>
        <v>91081.045454545456</v>
      </c>
      <c r="F672" s="673">
        <f t="shared" si="36"/>
        <v>804549.23484848626</v>
      </c>
      <c r="G672" s="1263">
        <f t="shared" si="38"/>
        <v>221495.47303584754</v>
      </c>
      <c r="H672" s="1266">
        <f t="shared" si="39"/>
        <v>221495.47303584754</v>
      </c>
      <c r="I672" s="724">
        <f t="shared" si="40"/>
        <v>0</v>
      </c>
      <c r="J672" s="724"/>
      <c r="K672" s="869"/>
      <c r="L672" s="729"/>
      <c r="M672" s="869"/>
      <c r="N672" s="729"/>
      <c r="O672" s="729"/>
    </row>
    <row r="673" spans="3:15">
      <c r="C673" s="720">
        <f>IF(D631="","-",+C672+1)</f>
        <v>2049</v>
      </c>
      <c r="D673" s="673">
        <f t="shared" si="37"/>
        <v>804549.23484848626</v>
      </c>
      <c r="E673" s="726">
        <f t="shared" si="41"/>
        <v>91081.045454545456</v>
      </c>
      <c r="F673" s="673">
        <f t="shared" si="36"/>
        <v>713468.18939394085</v>
      </c>
      <c r="G673" s="1263">
        <f t="shared" si="38"/>
        <v>207522.49865213659</v>
      </c>
      <c r="H673" s="1266">
        <f t="shared" si="39"/>
        <v>207522.49865213659</v>
      </c>
      <c r="I673" s="724">
        <f t="shared" si="40"/>
        <v>0</v>
      </c>
      <c r="J673" s="724"/>
      <c r="K673" s="869"/>
      <c r="L673" s="729"/>
      <c r="M673" s="869"/>
      <c r="N673" s="729"/>
      <c r="O673" s="729"/>
    </row>
    <row r="674" spans="3:15">
      <c r="C674" s="720">
        <f>IF(D631="","-",+C673+1)</f>
        <v>2050</v>
      </c>
      <c r="D674" s="673">
        <f t="shared" si="37"/>
        <v>713468.18939394085</v>
      </c>
      <c r="E674" s="726">
        <f t="shared" si="41"/>
        <v>91081.045454545456</v>
      </c>
      <c r="F674" s="673">
        <f t="shared" si="36"/>
        <v>622387.14393939544</v>
      </c>
      <c r="G674" s="1263">
        <f t="shared" si="38"/>
        <v>193549.52426842571</v>
      </c>
      <c r="H674" s="1266">
        <f t="shared" si="39"/>
        <v>193549.52426842571</v>
      </c>
      <c r="I674" s="724">
        <f t="shared" si="40"/>
        <v>0</v>
      </c>
      <c r="J674" s="724"/>
      <c r="K674" s="869"/>
      <c r="L674" s="729"/>
      <c r="M674" s="869"/>
      <c r="N674" s="729"/>
      <c r="O674" s="729"/>
    </row>
    <row r="675" spans="3:15">
      <c r="C675" s="720">
        <f>IF(D631="","-",+C674+1)</f>
        <v>2051</v>
      </c>
      <c r="D675" s="673">
        <f t="shared" si="37"/>
        <v>622387.14393939544</v>
      </c>
      <c r="E675" s="726">
        <f t="shared" si="41"/>
        <v>91081.045454545456</v>
      </c>
      <c r="F675" s="673">
        <f t="shared" si="36"/>
        <v>531306.09848485002</v>
      </c>
      <c r="G675" s="1263">
        <f t="shared" si="38"/>
        <v>179576.5498847148</v>
      </c>
      <c r="H675" s="1266">
        <f t="shared" si="39"/>
        <v>179576.5498847148</v>
      </c>
      <c r="I675" s="724">
        <f t="shared" si="40"/>
        <v>0</v>
      </c>
      <c r="J675" s="724"/>
      <c r="K675" s="869"/>
      <c r="L675" s="729"/>
      <c r="M675" s="869"/>
      <c r="N675" s="729"/>
      <c r="O675" s="729"/>
    </row>
    <row r="676" spans="3:15">
      <c r="C676" s="720">
        <f>IF(D631="","-",+C675+1)</f>
        <v>2052</v>
      </c>
      <c r="D676" s="673">
        <f t="shared" si="37"/>
        <v>531306.09848485002</v>
      </c>
      <c r="E676" s="726">
        <f t="shared" si="41"/>
        <v>91081.045454545456</v>
      </c>
      <c r="F676" s="673">
        <f t="shared" si="36"/>
        <v>440225.05303030455</v>
      </c>
      <c r="G676" s="1263">
        <f t="shared" si="38"/>
        <v>165603.57550100388</v>
      </c>
      <c r="H676" s="1266">
        <f t="shared" si="39"/>
        <v>165603.57550100388</v>
      </c>
      <c r="I676" s="724">
        <f t="shared" si="40"/>
        <v>0</v>
      </c>
      <c r="J676" s="724"/>
      <c r="K676" s="869"/>
      <c r="L676" s="729"/>
      <c r="M676" s="869"/>
      <c r="N676" s="729"/>
      <c r="O676" s="729"/>
    </row>
    <row r="677" spans="3:15">
      <c r="C677" s="720">
        <f>IF(D631="","-",+C676+1)</f>
        <v>2053</v>
      </c>
      <c r="D677" s="673">
        <f t="shared" si="37"/>
        <v>440225.05303030455</v>
      </c>
      <c r="E677" s="726">
        <f t="shared" si="41"/>
        <v>91081.045454545456</v>
      </c>
      <c r="F677" s="673">
        <f t="shared" si="36"/>
        <v>349144.00757575908</v>
      </c>
      <c r="G677" s="1263">
        <f t="shared" si="38"/>
        <v>151630.60111729297</v>
      </c>
      <c r="H677" s="1266">
        <f t="shared" si="39"/>
        <v>151630.60111729297</v>
      </c>
      <c r="I677" s="724">
        <f t="shared" si="40"/>
        <v>0</v>
      </c>
      <c r="J677" s="724"/>
      <c r="K677" s="869"/>
      <c r="L677" s="729"/>
      <c r="M677" s="869"/>
      <c r="N677" s="729"/>
      <c r="O677" s="729"/>
    </row>
    <row r="678" spans="3:15">
      <c r="C678" s="720">
        <f>IF(D631="","-",+C677+1)</f>
        <v>2054</v>
      </c>
      <c r="D678" s="673">
        <f t="shared" si="37"/>
        <v>349144.00757575908</v>
      </c>
      <c r="E678" s="726">
        <f t="shared" si="41"/>
        <v>91081.045454545456</v>
      </c>
      <c r="F678" s="673">
        <f t="shared" si="36"/>
        <v>258062.96212121361</v>
      </c>
      <c r="G678" s="1263">
        <f t="shared" si="38"/>
        <v>137657.62673358206</v>
      </c>
      <c r="H678" s="1266">
        <f t="shared" si="39"/>
        <v>137657.62673358206</v>
      </c>
      <c r="I678" s="724">
        <f t="shared" si="40"/>
        <v>0</v>
      </c>
      <c r="J678" s="724"/>
      <c r="K678" s="869"/>
      <c r="L678" s="729"/>
      <c r="M678" s="869"/>
      <c r="N678" s="729"/>
      <c r="O678" s="729"/>
    </row>
    <row r="679" spans="3:15">
      <c r="C679" s="720">
        <f>IF(D631="","-",+C678+1)</f>
        <v>2055</v>
      </c>
      <c r="D679" s="673">
        <f t="shared" si="37"/>
        <v>258062.96212121361</v>
      </c>
      <c r="E679" s="726">
        <f t="shared" si="41"/>
        <v>91081.045454545456</v>
      </c>
      <c r="F679" s="673">
        <f t="shared" si="36"/>
        <v>166981.91666666814</v>
      </c>
      <c r="G679" s="1263">
        <f t="shared" si="38"/>
        <v>123684.65234987115</v>
      </c>
      <c r="H679" s="1266">
        <f t="shared" si="39"/>
        <v>123684.65234987115</v>
      </c>
      <c r="I679" s="724">
        <f t="shared" si="40"/>
        <v>0</v>
      </c>
      <c r="J679" s="724"/>
      <c r="K679" s="869"/>
      <c r="L679" s="729"/>
      <c r="M679" s="869"/>
      <c r="N679" s="729"/>
      <c r="O679" s="729"/>
    </row>
    <row r="680" spans="3:15">
      <c r="C680" s="720">
        <f>IF(D631="","-",+C679+1)</f>
        <v>2056</v>
      </c>
      <c r="D680" s="673">
        <f t="shared" si="37"/>
        <v>166981.91666666814</v>
      </c>
      <c r="E680" s="726">
        <f t="shared" si="41"/>
        <v>91081.045454545456</v>
      </c>
      <c r="F680" s="673">
        <f t="shared" si="36"/>
        <v>75900.871212122685</v>
      </c>
      <c r="G680" s="1263">
        <f t="shared" si="38"/>
        <v>109711.67796616023</v>
      </c>
      <c r="H680" s="1266">
        <f t="shared" si="39"/>
        <v>109711.67796616023</v>
      </c>
      <c r="I680" s="724">
        <f t="shared" si="40"/>
        <v>0</v>
      </c>
      <c r="J680" s="724"/>
      <c r="K680" s="869"/>
      <c r="L680" s="729"/>
      <c r="M680" s="869"/>
      <c r="N680" s="729"/>
      <c r="O680" s="729"/>
    </row>
    <row r="681" spans="3:15">
      <c r="C681" s="720">
        <f>IF(D631="","-",+C680+1)</f>
        <v>2057</v>
      </c>
      <c r="D681" s="673">
        <f t="shared" si="37"/>
        <v>75900.871212122685</v>
      </c>
      <c r="E681" s="726">
        <f t="shared" si="41"/>
        <v>75900.871212122685</v>
      </c>
      <c r="F681" s="673">
        <f t="shared" si="36"/>
        <v>0</v>
      </c>
      <c r="G681" s="1263">
        <f t="shared" si="38"/>
        <v>81722.943872002346</v>
      </c>
      <c r="H681" s="1266">
        <f t="shared" si="39"/>
        <v>81722.943872002346</v>
      </c>
      <c r="I681" s="724">
        <f t="shared" si="40"/>
        <v>0</v>
      </c>
      <c r="J681" s="724"/>
      <c r="K681" s="869"/>
      <c r="L681" s="729"/>
      <c r="M681" s="869"/>
      <c r="N681" s="729"/>
      <c r="O681" s="729"/>
    </row>
    <row r="682" spans="3:15">
      <c r="C682" s="720">
        <f>IF(D631="","-",+C681+1)</f>
        <v>2058</v>
      </c>
      <c r="D682" s="673">
        <f t="shared" si="37"/>
        <v>0</v>
      </c>
      <c r="E682" s="726">
        <f t="shared" si="41"/>
        <v>0</v>
      </c>
      <c r="F682" s="673">
        <f t="shared" si="36"/>
        <v>0</v>
      </c>
      <c r="G682" s="1263">
        <f t="shared" si="38"/>
        <v>0</v>
      </c>
      <c r="H682" s="1266">
        <f t="shared" si="39"/>
        <v>0</v>
      </c>
      <c r="I682" s="724">
        <f t="shared" si="40"/>
        <v>0</v>
      </c>
      <c r="J682" s="724"/>
      <c r="K682" s="869"/>
      <c r="L682" s="729"/>
      <c r="M682" s="869"/>
      <c r="N682" s="729"/>
      <c r="O682" s="729"/>
    </row>
    <row r="683" spans="3:15">
      <c r="C683" s="720">
        <f>IF(D631="","-",+C682+1)</f>
        <v>2059</v>
      </c>
      <c r="D683" s="673">
        <f t="shared" si="37"/>
        <v>0</v>
      </c>
      <c r="E683" s="726">
        <f t="shared" si="41"/>
        <v>0</v>
      </c>
      <c r="F683" s="673">
        <f t="shared" si="36"/>
        <v>0</v>
      </c>
      <c r="G683" s="1263">
        <f t="shared" si="38"/>
        <v>0</v>
      </c>
      <c r="H683" s="1266">
        <f t="shared" si="39"/>
        <v>0</v>
      </c>
      <c r="I683" s="724">
        <f t="shared" si="40"/>
        <v>0</v>
      </c>
      <c r="J683" s="724"/>
      <c r="K683" s="869"/>
      <c r="L683" s="729"/>
      <c r="M683" s="869"/>
      <c r="N683" s="729"/>
      <c r="O683" s="729"/>
    </row>
    <row r="684" spans="3:15">
      <c r="C684" s="720">
        <f>IF(D631="","-",+C683+1)</f>
        <v>2060</v>
      </c>
      <c r="D684" s="673">
        <f t="shared" si="37"/>
        <v>0</v>
      </c>
      <c r="E684" s="726">
        <f t="shared" si="41"/>
        <v>0</v>
      </c>
      <c r="F684" s="673">
        <f t="shared" si="36"/>
        <v>0</v>
      </c>
      <c r="G684" s="1263">
        <f t="shared" si="38"/>
        <v>0</v>
      </c>
      <c r="H684" s="1266">
        <f t="shared" si="39"/>
        <v>0</v>
      </c>
      <c r="I684" s="724">
        <f t="shared" si="40"/>
        <v>0</v>
      </c>
      <c r="J684" s="724"/>
      <c r="K684" s="869"/>
      <c r="L684" s="729"/>
      <c r="M684" s="869"/>
      <c r="N684" s="729"/>
      <c r="O684" s="729"/>
    </row>
    <row r="685" spans="3:15">
      <c r="C685" s="720">
        <f>IF(D631="","-",+C684+1)</f>
        <v>2061</v>
      </c>
      <c r="D685" s="673">
        <f t="shared" si="37"/>
        <v>0</v>
      </c>
      <c r="E685" s="726">
        <f t="shared" si="41"/>
        <v>0</v>
      </c>
      <c r="F685" s="673">
        <f t="shared" si="36"/>
        <v>0</v>
      </c>
      <c r="G685" s="1263">
        <f t="shared" si="38"/>
        <v>0</v>
      </c>
      <c r="H685" s="1266">
        <f t="shared" si="39"/>
        <v>0</v>
      </c>
      <c r="I685" s="724">
        <f t="shared" si="40"/>
        <v>0</v>
      </c>
      <c r="J685" s="724"/>
      <c r="K685" s="869"/>
      <c r="L685" s="729"/>
      <c r="M685" s="869"/>
      <c r="N685" s="729"/>
      <c r="O685" s="729"/>
    </row>
    <row r="686" spans="3:15">
      <c r="C686" s="720">
        <f>IF(D631="","-",+C685+1)</f>
        <v>2062</v>
      </c>
      <c r="D686" s="673">
        <f t="shared" si="37"/>
        <v>0</v>
      </c>
      <c r="E686" s="726">
        <f t="shared" si="41"/>
        <v>0</v>
      </c>
      <c r="F686" s="673">
        <f t="shared" si="36"/>
        <v>0</v>
      </c>
      <c r="G686" s="1263">
        <f t="shared" si="38"/>
        <v>0</v>
      </c>
      <c r="H686" s="1266">
        <f t="shared" si="39"/>
        <v>0</v>
      </c>
      <c r="I686" s="724">
        <f t="shared" si="40"/>
        <v>0</v>
      </c>
      <c r="J686" s="724"/>
      <c r="K686" s="869"/>
      <c r="L686" s="729"/>
      <c r="M686" s="869"/>
      <c r="N686" s="729"/>
      <c r="O686" s="729"/>
    </row>
    <row r="687" spans="3:15">
      <c r="C687" s="720">
        <f>IF(D631="","-",+C686+1)</f>
        <v>2063</v>
      </c>
      <c r="D687" s="673">
        <f t="shared" si="37"/>
        <v>0</v>
      </c>
      <c r="E687" s="726">
        <f t="shared" si="41"/>
        <v>0</v>
      </c>
      <c r="F687" s="673">
        <f t="shared" si="36"/>
        <v>0</v>
      </c>
      <c r="G687" s="1263">
        <f t="shared" si="38"/>
        <v>0</v>
      </c>
      <c r="H687" s="1266">
        <f t="shared" si="39"/>
        <v>0</v>
      </c>
      <c r="I687" s="724">
        <f t="shared" si="40"/>
        <v>0</v>
      </c>
      <c r="J687" s="724"/>
      <c r="K687" s="869"/>
      <c r="L687" s="729"/>
      <c r="M687" s="869"/>
      <c r="N687" s="729"/>
      <c r="O687" s="729"/>
    </row>
    <row r="688" spans="3:15">
      <c r="C688" s="720">
        <f>IF(D631="","-",+C687+1)</f>
        <v>2064</v>
      </c>
      <c r="D688" s="673">
        <f t="shared" si="37"/>
        <v>0</v>
      </c>
      <c r="E688" s="726">
        <f t="shared" si="41"/>
        <v>0</v>
      </c>
      <c r="F688" s="673">
        <f t="shared" si="36"/>
        <v>0</v>
      </c>
      <c r="G688" s="1263">
        <f t="shared" si="38"/>
        <v>0</v>
      </c>
      <c r="H688" s="1266">
        <f t="shared" si="39"/>
        <v>0</v>
      </c>
      <c r="I688" s="724">
        <f t="shared" si="40"/>
        <v>0</v>
      </c>
      <c r="J688" s="724"/>
      <c r="K688" s="869"/>
      <c r="L688" s="729"/>
      <c r="M688" s="869"/>
      <c r="N688" s="729"/>
      <c r="O688" s="729"/>
    </row>
    <row r="689" spans="3:15">
      <c r="C689" s="720">
        <f>IF(D631="","-",+C688+1)</f>
        <v>2065</v>
      </c>
      <c r="D689" s="673">
        <f t="shared" si="37"/>
        <v>0</v>
      </c>
      <c r="E689" s="726">
        <f t="shared" si="41"/>
        <v>0</v>
      </c>
      <c r="F689" s="673">
        <f t="shared" si="36"/>
        <v>0</v>
      </c>
      <c r="G689" s="1263">
        <f t="shared" si="38"/>
        <v>0</v>
      </c>
      <c r="H689" s="1266">
        <f t="shared" si="39"/>
        <v>0</v>
      </c>
      <c r="I689" s="724">
        <f t="shared" si="40"/>
        <v>0</v>
      </c>
      <c r="J689" s="724"/>
      <c r="K689" s="869"/>
      <c r="L689" s="729"/>
      <c r="M689" s="869"/>
      <c r="N689" s="729"/>
      <c r="O689" s="729"/>
    </row>
    <row r="690" spans="3:15">
      <c r="C690" s="720">
        <f>IF(D631="","-",+C689+1)</f>
        <v>2066</v>
      </c>
      <c r="D690" s="673">
        <f t="shared" si="37"/>
        <v>0</v>
      </c>
      <c r="E690" s="726">
        <f t="shared" si="41"/>
        <v>0</v>
      </c>
      <c r="F690" s="673">
        <f t="shared" si="36"/>
        <v>0</v>
      </c>
      <c r="G690" s="1263">
        <f t="shared" si="38"/>
        <v>0</v>
      </c>
      <c r="H690" s="1266">
        <f t="shared" si="39"/>
        <v>0</v>
      </c>
      <c r="I690" s="724">
        <f t="shared" si="40"/>
        <v>0</v>
      </c>
      <c r="J690" s="724"/>
      <c r="K690" s="869"/>
      <c r="L690" s="729"/>
      <c r="M690" s="869"/>
      <c r="N690" s="729"/>
      <c r="O690" s="729"/>
    </row>
    <row r="691" spans="3:15">
      <c r="C691" s="720">
        <f>IF(D631="","-",+C690+1)</f>
        <v>2067</v>
      </c>
      <c r="D691" s="673">
        <f t="shared" si="37"/>
        <v>0</v>
      </c>
      <c r="E691" s="726">
        <f t="shared" si="41"/>
        <v>0</v>
      </c>
      <c r="F691" s="673">
        <f t="shared" si="36"/>
        <v>0</v>
      </c>
      <c r="G691" s="1263">
        <f t="shared" si="38"/>
        <v>0</v>
      </c>
      <c r="H691" s="1266">
        <f t="shared" si="39"/>
        <v>0</v>
      </c>
      <c r="I691" s="724">
        <f t="shared" si="40"/>
        <v>0</v>
      </c>
      <c r="J691" s="724"/>
      <c r="K691" s="869"/>
      <c r="L691" s="729"/>
      <c r="M691" s="869"/>
      <c r="N691" s="729"/>
      <c r="O691" s="729"/>
    </row>
    <row r="692" spans="3:15">
      <c r="C692" s="720">
        <f>IF(D631="","-",+C691+1)</f>
        <v>2068</v>
      </c>
      <c r="D692" s="673">
        <f t="shared" si="37"/>
        <v>0</v>
      </c>
      <c r="E692" s="726">
        <f t="shared" si="41"/>
        <v>0</v>
      </c>
      <c r="F692" s="673">
        <f t="shared" si="36"/>
        <v>0</v>
      </c>
      <c r="G692" s="1263">
        <f t="shared" si="38"/>
        <v>0</v>
      </c>
      <c r="H692" s="1266">
        <f t="shared" si="39"/>
        <v>0</v>
      </c>
      <c r="I692" s="724">
        <f t="shared" si="40"/>
        <v>0</v>
      </c>
      <c r="J692" s="724"/>
      <c r="K692" s="869"/>
      <c r="L692" s="729"/>
      <c r="M692" s="869"/>
      <c r="N692" s="729"/>
      <c r="O692" s="729"/>
    </row>
    <row r="693" spans="3:15">
      <c r="C693" s="720">
        <f>IF(D631="","-",+C692+1)</f>
        <v>2069</v>
      </c>
      <c r="D693" s="673">
        <f t="shared" si="37"/>
        <v>0</v>
      </c>
      <c r="E693" s="726">
        <f t="shared" si="41"/>
        <v>0</v>
      </c>
      <c r="F693" s="673">
        <f t="shared" si="36"/>
        <v>0</v>
      </c>
      <c r="G693" s="1263">
        <f t="shared" si="38"/>
        <v>0</v>
      </c>
      <c r="H693" s="1266">
        <f t="shared" si="39"/>
        <v>0</v>
      </c>
      <c r="I693" s="724">
        <f t="shared" si="40"/>
        <v>0</v>
      </c>
      <c r="J693" s="724"/>
      <c r="K693" s="869"/>
      <c r="L693" s="729"/>
      <c r="M693" s="869"/>
      <c r="N693" s="729"/>
      <c r="O693" s="729"/>
    </row>
    <row r="694" spans="3:15">
      <c r="C694" s="720">
        <f>IF(D631="","-",+C693+1)</f>
        <v>2070</v>
      </c>
      <c r="D694" s="673">
        <f t="shared" si="37"/>
        <v>0</v>
      </c>
      <c r="E694" s="726">
        <f t="shared" si="41"/>
        <v>0</v>
      </c>
      <c r="F694" s="673">
        <f t="shared" si="36"/>
        <v>0</v>
      </c>
      <c r="G694" s="1263">
        <f t="shared" si="38"/>
        <v>0</v>
      </c>
      <c r="H694" s="1266">
        <f t="shared" si="39"/>
        <v>0</v>
      </c>
      <c r="I694" s="724">
        <f t="shared" si="40"/>
        <v>0</v>
      </c>
      <c r="J694" s="724"/>
      <c r="K694" s="869"/>
      <c r="L694" s="729"/>
      <c r="M694" s="869"/>
      <c r="N694" s="729"/>
      <c r="O694" s="729"/>
    </row>
    <row r="695" spans="3:15">
      <c r="C695" s="720">
        <f>IF(D631="","-",+C694+1)</f>
        <v>2071</v>
      </c>
      <c r="D695" s="673">
        <f t="shared" si="37"/>
        <v>0</v>
      </c>
      <c r="E695" s="726">
        <f t="shared" si="41"/>
        <v>0</v>
      </c>
      <c r="F695" s="673">
        <f t="shared" si="36"/>
        <v>0</v>
      </c>
      <c r="G695" s="1263">
        <f t="shared" si="38"/>
        <v>0</v>
      </c>
      <c r="H695" s="1266">
        <f t="shared" si="39"/>
        <v>0</v>
      </c>
      <c r="I695" s="724">
        <f t="shared" si="40"/>
        <v>0</v>
      </c>
      <c r="J695" s="724"/>
      <c r="K695" s="869"/>
      <c r="L695" s="729"/>
      <c r="M695" s="869"/>
      <c r="N695" s="729"/>
      <c r="O695" s="729"/>
    </row>
    <row r="696" spans="3:15" ht="13.5" thickBot="1">
      <c r="C696" s="730">
        <f>IF(D631="","-",+C695+1)</f>
        <v>2072</v>
      </c>
      <c r="D696" s="731">
        <f t="shared" si="37"/>
        <v>0</v>
      </c>
      <c r="E696" s="732">
        <f t="shared" si="41"/>
        <v>0</v>
      </c>
      <c r="F696" s="731">
        <f t="shared" si="36"/>
        <v>0</v>
      </c>
      <c r="G696" s="1274">
        <f t="shared" si="38"/>
        <v>0</v>
      </c>
      <c r="H696" s="1274">
        <f t="shared" si="39"/>
        <v>0</v>
      </c>
      <c r="I696" s="734">
        <f t="shared" si="40"/>
        <v>0</v>
      </c>
      <c r="J696" s="724"/>
      <c r="K696" s="870"/>
      <c r="L696" s="736"/>
      <c r="M696" s="870"/>
      <c r="N696" s="736"/>
      <c r="O696" s="736"/>
    </row>
    <row r="697" spans="3:15">
      <c r="C697" s="673" t="s">
        <v>288</v>
      </c>
      <c r="D697" s="1242"/>
      <c r="E697" s="673"/>
      <c r="F697" s="1242"/>
      <c r="G697" s="1242">
        <f>SUM(G637:G696)</f>
        <v>18045747.597501565</v>
      </c>
      <c r="H697" s="1242">
        <f>SUM(H637:H696)</f>
        <v>18045747.597501565</v>
      </c>
      <c r="I697" s="1242">
        <f>SUM(I637:I696)</f>
        <v>0</v>
      </c>
      <c r="J697" s="1242"/>
      <c r="K697" s="1242"/>
      <c r="L697" s="1242"/>
      <c r="M697" s="1242"/>
      <c r="N697" s="1242"/>
      <c r="O697" s="542"/>
    </row>
    <row r="698" spans="3:15">
      <c r="D698" s="563"/>
      <c r="E698" s="542"/>
      <c r="F698" s="542"/>
      <c r="G698" s="542"/>
      <c r="H698" s="1241"/>
      <c r="I698" s="1241"/>
      <c r="J698" s="1242"/>
      <c r="K698" s="1241"/>
      <c r="L698" s="1241"/>
      <c r="M698" s="1241"/>
      <c r="N698" s="1241"/>
      <c r="O698" s="542"/>
    </row>
    <row r="699" spans="3:15">
      <c r="C699" s="542" t="s">
        <v>595</v>
      </c>
      <c r="D699" s="563"/>
      <c r="E699" s="542"/>
      <c r="F699" s="542"/>
      <c r="G699" s="542"/>
      <c r="H699" s="1241"/>
      <c r="I699" s="1241"/>
      <c r="J699" s="1242"/>
      <c r="K699" s="1241"/>
      <c r="L699" s="1241"/>
      <c r="M699" s="1241"/>
      <c r="N699" s="1241"/>
      <c r="O699" s="542"/>
    </row>
    <row r="700" spans="3:15">
      <c r="C700" s="542"/>
      <c r="D700" s="563"/>
      <c r="E700" s="542"/>
      <c r="F700" s="542"/>
      <c r="G700" s="542"/>
      <c r="H700" s="1241"/>
      <c r="I700" s="1241"/>
      <c r="J700" s="1242"/>
      <c r="K700" s="1241"/>
      <c r="L700" s="1241"/>
      <c r="M700" s="1241"/>
      <c r="N700" s="1241"/>
      <c r="O700" s="542"/>
    </row>
    <row r="701" spans="3:15">
      <c r="C701" s="684" t="s">
        <v>934</v>
      </c>
      <c r="D701" s="673"/>
      <c r="E701" s="673"/>
      <c r="F701" s="673"/>
      <c r="G701" s="1242"/>
      <c r="H701" s="1242"/>
      <c r="I701" s="674"/>
      <c r="J701" s="674"/>
      <c r="K701" s="674"/>
      <c r="L701" s="674"/>
      <c r="M701" s="674"/>
      <c r="N701" s="674"/>
      <c r="O701" s="542"/>
    </row>
    <row r="702" spans="3:15">
      <c r="C702" s="684" t="s">
        <v>476</v>
      </c>
      <c r="D702" s="673"/>
      <c r="E702" s="673"/>
      <c r="F702" s="673"/>
      <c r="G702" s="1242"/>
      <c r="H702" s="1242"/>
      <c r="I702" s="674"/>
      <c r="J702" s="674"/>
      <c r="K702" s="674"/>
      <c r="L702" s="674"/>
      <c r="M702" s="674"/>
      <c r="N702" s="674"/>
      <c r="O702" s="542"/>
    </row>
    <row r="703" spans="3:15">
      <c r="C703" s="672" t="s">
        <v>289</v>
      </c>
      <c r="D703" s="673"/>
      <c r="E703" s="673"/>
      <c r="F703" s="673"/>
      <c r="G703" s="1242"/>
      <c r="H703" s="1242"/>
      <c r="I703" s="674"/>
      <c r="J703" s="674"/>
      <c r="K703" s="674"/>
      <c r="L703" s="674"/>
      <c r="M703" s="674"/>
      <c r="N703" s="674"/>
      <c r="O703" s="542"/>
    </row>
    <row r="704" spans="3:15">
      <c r="C704" s="672"/>
      <c r="D704" s="673"/>
      <c r="E704" s="673"/>
      <c r="F704" s="673"/>
      <c r="G704" s="1242"/>
      <c r="H704" s="1242"/>
      <c r="I704" s="674"/>
      <c r="J704" s="674"/>
      <c r="K704" s="674"/>
      <c r="L704" s="674"/>
      <c r="M704" s="674"/>
      <c r="N704" s="674"/>
      <c r="O704" s="542"/>
    </row>
    <row r="705" spans="1:16">
      <c r="C705" s="1701" t="s">
        <v>460</v>
      </c>
      <c r="D705" s="1701"/>
      <c r="E705" s="1701"/>
      <c r="F705" s="1701"/>
      <c r="G705" s="1701"/>
      <c r="H705" s="1701"/>
      <c r="I705" s="1701"/>
      <c r="J705" s="1701"/>
      <c r="K705" s="1701"/>
      <c r="L705" s="1701"/>
      <c r="M705" s="1701"/>
      <c r="N705" s="1701"/>
      <c r="O705" s="1701"/>
    </row>
    <row r="706" spans="1:16">
      <c r="C706" s="1701"/>
      <c r="D706" s="1701"/>
      <c r="E706" s="1701"/>
      <c r="F706" s="1701"/>
      <c r="G706" s="1701"/>
      <c r="H706" s="1701"/>
      <c r="I706" s="1701"/>
      <c r="J706" s="1701"/>
      <c r="K706" s="1701"/>
      <c r="L706" s="1701"/>
      <c r="M706" s="1701"/>
      <c r="N706" s="1701"/>
      <c r="O706" s="1701"/>
    </row>
    <row r="707" spans="1:16" ht="20.25">
      <c r="A707" s="675" t="s">
        <v>931</v>
      </c>
      <c r="B707" s="576"/>
      <c r="C707" s="655"/>
      <c r="D707" s="563"/>
      <c r="E707" s="542"/>
      <c r="F707" s="645"/>
      <c r="G707" s="542"/>
      <c r="H707" s="1241"/>
      <c r="K707" s="676"/>
      <c r="L707" s="676"/>
      <c r="M707" s="676"/>
      <c r="N707" s="591" t="str">
        <f>"Page "&amp;SUM(P$6:P707)&amp;" of "</f>
        <v xml:space="preserve">Page 8 of </v>
      </c>
      <c r="O707" s="592">
        <f>COUNT(P$6:P$59579)</f>
        <v>22</v>
      </c>
      <c r="P707" s="542">
        <v>1</v>
      </c>
    </row>
    <row r="708" spans="1:16">
      <c r="B708" s="576"/>
      <c r="C708" s="542"/>
      <c r="D708" s="563"/>
      <c r="E708" s="542"/>
      <c r="F708" s="542"/>
      <c r="G708" s="542"/>
      <c r="H708" s="1241"/>
      <c r="I708" s="542"/>
      <c r="J708" s="588"/>
      <c r="K708" s="542"/>
      <c r="L708" s="542"/>
      <c r="M708" s="542"/>
      <c r="N708" s="542"/>
      <c r="O708" s="542"/>
    </row>
    <row r="709" spans="1:16" ht="18">
      <c r="B709" s="595" t="s">
        <v>174</v>
      </c>
      <c r="C709" s="677" t="s">
        <v>290</v>
      </c>
      <c r="D709" s="563"/>
      <c r="E709" s="542"/>
      <c r="F709" s="542"/>
      <c r="G709" s="542"/>
      <c r="H709" s="1241"/>
      <c r="I709" s="1241"/>
      <c r="J709" s="1242"/>
      <c r="K709" s="1241"/>
      <c r="L709" s="1241"/>
      <c r="M709" s="1241"/>
      <c r="N709" s="1241"/>
      <c r="O709" s="542"/>
    </row>
    <row r="710" spans="1:16" ht="18.75">
      <c r="B710" s="595"/>
      <c r="C710" s="594"/>
      <c r="D710" s="563"/>
      <c r="E710" s="542"/>
      <c r="F710" s="542"/>
      <c r="G710" s="542"/>
      <c r="H710" s="1241"/>
      <c r="I710" s="1241"/>
      <c r="J710" s="1242"/>
      <c r="K710" s="1241"/>
      <c r="L710" s="1241"/>
      <c r="M710" s="1241"/>
      <c r="N710" s="1241"/>
      <c r="O710" s="542"/>
    </row>
    <row r="711" spans="1:16" ht="18.75">
      <c r="B711" s="595"/>
      <c r="C711" s="594" t="s">
        <v>291</v>
      </c>
      <c r="D711" s="563"/>
      <c r="E711" s="542"/>
      <c r="F711" s="542"/>
      <c r="G711" s="542"/>
      <c r="H711" s="1241"/>
      <c r="I711" s="1241"/>
      <c r="J711" s="1242"/>
      <c r="K711" s="1241"/>
      <c r="L711" s="1241"/>
      <c r="M711" s="1241"/>
      <c r="N711" s="1241"/>
      <c r="O711" s="542"/>
    </row>
    <row r="712" spans="1:16" ht="15.75" thickBot="1">
      <c r="C712" s="396"/>
      <c r="D712" s="563"/>
      <c r="E712" s="542"/>
      <c r="F712" s="542"/>
      <c r="G712" s="542"/>
      <c r="H712" s="1241"/>
      <c r="I712" s="1241"/>
      <c r="J712" s="1242"/>
      <c r="K712" s="1241"/>
      <c r="L712" s="1241"/>
      <c r="M712" s="1241"/>
      <c r="N712" s="1241"/>
      <c r="O712" s="542"/>
    </row>
    <row r="713" spans="1:16" ht="15.75">
      <c r="C713" s="596" t="s">
        <v>292</v>
      </c>
      <c r="D713" s="563"/>
      <c r="E713" s="542"/>
      <c r="F713" s="542"/>
      <c r="G713" s="1276"/>
      <c r="H713" s="542" t="s">
        <v>271</v>
      </c>
      <c r="I713" s="542"/>
      <c r="J713" s="588"/>
      <c r="K713" s="678" t="s">
        <v>296</v>
      </c>
      <c r="L713" s="679"/>
      <c r="M713" s="680"/>
      <c r="N713" s="1244">
        <f>VLOOKUP(I719,C726:O785,5)</f>
        <v>18608.156410872914</v>
      </c>
      <c r="O713" s="542"/>
    </row>
    <row r="714" spans="1:16" ht="15.75">
      <c r="C714" s="596"/>
      <c r="D714" s="563"/>
      <c r="E714" s="542"/>
      <c r="F714" s="542"/>
      <c r="G714" s="542"/>
      <c r="H714" s="1245"/>
      <c r="I714" s="1245"/>
      <c r="J714" s="1246"/>
      <c r="K714" s="683" t="s">
        <v>297</v>
      </c>
      <c r="L714" s="1247"/>
      <c r="M714" s="588"/>
      <c r="N714" s="1248">
        <f>VLOOKUP(I719,C726:O785,6)</f>
        <v>18608.156410872914</v>
      </c>
      <c r="O714" s="542"/>
    </row>
    <row r="715" spans="1:16" ht="13.5" thickBot="1">
      <c r="C715" s="684" t="s">
        <v>293</v>
      </c>
      <c r="D715" s="1284" t="s">
        <v>941</v>
      </c>
      <c r="E715" s="1281"/>
      <c r="F715" s="1281"/>
      <c r="G715" s="1281"/>
      <c r="H715" s="872"/>
      <c r="I715" s="872"/>
      <c r="J715" s="1242"/>
      <c r="K715" s="1249" t="s">
        <v>450</v>
      </c>
      <c r="L715" s="1250"/>
      <c r="M715" s="1250"/>
      <c r="N715" s="1251">
        <f>+N714-N713</f>
        <v>0</v>
      </c>
      <c r="O715" s="542"/>
    </row>
    <row r="716" spans="1:16">
      <c r="C716" s="686"/>
      <c r="D716" s="687"/>
      <c r="E716" s="671"/>
      <c r="F716" s="671"/>
      <c r="G716" s="688"/>
      <c r="H716" s="1241"/>
      <c r="I716" s="1241"/>
      <c r="J716" s="1242"/>
      <c r="K716" s="1241"/>
      <c r="L716" s="1241"/>
      <c r="M716" s="1241"/>
      <c r="N716" s="1241"/>
      <c r="O716" s="542"/>
    </row>
    <row r="717" spans="1:16" ht="13.5" thickBot="1">
      <c r="C717" s="689"/>
      <c r="D717" s="1252"/>
      <c r="E717" s="688"/>
      <c r="F717" s="688"/>
      <c r="G717" s="688"/>
      <c r="H717" s="688"/>
      <c r="I717" s="688"/>
      <c r="J717" s="691"/>
      <c r="K717" s="688"/>
      <c r="L717" s="688"/>
      <c r="M717" s="688"/>
      <c r="N717" s="688"/>
      <c r="O717" s="576"/>
    </row>
    <row r="718" spans="1:16" ht="13.5" thickBot="1">
      <c r="C718" s="692" t="s">
        <v>294</v>
      </c>
      <c r="D718" s="693"/>
      <c r="E718" s="693"/>
      <c r="F718" s="693"/>
      <c r="G718" s="693"/>
      <c r="H718" s="693"/>
      <c r="I718" s="694"/>
      <c r="J718" s="695"/>
      <c r="K718" s="542"/>
      <c r="L718" s="542"/>
      <c r="M718" s="542"/>
      <c r="N718" s="542"/>
      <c r="O718" s="696"/>
    </row>
    <row r="719" spans="1:16" ht="15">
      <c r="C719" s="697" t="s">
        <v>272</v>
      </c>
      <c r="D719" s="1253">
        <v>118332</v>
      </c>
      <c r="E719" s="655" t="s">
        <v>273</v>
      </c>
      <c r="G719" s="698"/>
      <c r="H719" s="698"/>
      <c r="I719" s="699">
        <v>2018</v>
      </c>
      <c r="J719" s="586"/>
      <c r="K719" s="1702" t="s">
        <v>459</v>
      </c>
      <c r="L719" s="1702"/>
      <c r="M719" s="1702"/>
      <c r="N719" s="1702"/>
      <c r="O719" s="1702"/>
    </row>
    <row r="720" spans="1:16">
      <c r="C720" s="697" t="s">
        <v>275</v>
      </c>
      <c r="D720" s="865">
        <v>2013</v>
      </c>
      <c r="E720" s="697" t="s">
        <v>276</v>
      </c>
      <c r="F720" s="698"/>
      <c r="H720" s="330"/>
      <c r="I720" s="1254">
        <f>IF(G713="",0,$F$15)</f>
        <v>0</v>
      </c>
      <c r="J720" s="700"/>
      <c r="K720" s="1242" t="s">
        <v>459</v>
      </c>
    </row>
    <row r="721" spans="1:15">
      <c r="C721" s="697" t="s">
        <v>277</v>
      </c>
      <c r="D721" s="1253">
        <v>1</v>
      </c>
      <c r="E721" s="697" t="s">
        <v>278</v>
      </c>
      <c r="F721" s="698"/>
      <c r="H721" s="330"/>
      <c r="I721" s="701">
        <f>$G$70</f>
        <v>0.15341253840442806</v>
      </c>
      <c r="J721" s="702"/>
      <c r="K721" s="330" t="str">
        <f>"          INPUT PROJECTED ARR (WITH &amp; WITHOUT INCENTIVES) FROM EACH PRIOR YEAR"</f>
        <v xml:space="preserve">          INPUT PROJECTED ARR (WITH &amp; WITHOUT INCENTIVES) FROM EACH PRIOR YEAR</v>
      </c>
    </row>
    <row r="722" spans="1:15">
      <c r="C722" s="697" t="s">
        <v>279</v>
      </c>
      <c r="D722" s="703">
        <f>G$79</f>
        <v>44</v>
      </c>
      <c r="E722" s="697" t="s">
        <v>280</v>
      </c>
      <c r="F722" s="698"/>
      <c r="H722" s="330"/>
      <c r="I722" s="701">
        <f>IF(G713="",I721,$G$67)</f>
        <v>0.15341253840442806</v>
      </c>
      <c r="J722" s="704"/>
      <c r="K722" s="330" t="s">
        <v>357</v>
      </c>
    </row>
    <row r="723" spans="1:15" ht="13.5" thickBot="1">
      <c r="C723" s="697" t="s">
        <v>281</v>
      </c>
      <c r="D723" s="866" t="s">
        <v>933</v>
      </c>
      <c r="E723" s="705" t="s">
        <v>282</v>
      </c>
      <c r="F723" s="706"/>
      <c r="G723" s="707"/>
      <c r="H723" s="707"/>
      <c r="I723" s="1251">
        <f>IF(D719=0,0,D719/D722)</f>
        <v>2689.3636363636365</v>
      </c>
      <c r="J723" s="1242"/>
      <c r="K723" s="1242" t="s">
        <v>363</v>
      </c>
      <c r="L723" s="1242"/>
      <c r="M723" s="1242"/>
      <c r="N723" s="1242"/>
      <c r="O723" s="588"/>
    </row>
    <row r="724" spans="1:15" ht="51">
      <c r="A724" s="529"/>
      <c r="B724" s="1255"/>
      <c r="C724" s="708" t="s">
        <v>272</v>
      </c>
      <c r="D724" s="1256" t="s">
        <v>283</v>
      </c>
      <c r="E724" s="1257" t="s">
        <v>284</v>
      </c>
      <c r="F724" s="1256" t="s">
        <v>285</v>
      </c>
      <c r="G724" s="1257" t="s">
        <v>356</v>
      </c>
      <c r="H724" s="1258" t="s">
        <v>356</v>
      </c>
      <c r="I724" s="708" t="s">
        <v>295</v>
      </c>
      <c r="J724" s="712"/>
      <c r="K724" s="1257" t="s">
        <v>365</v>
      </c>
      <c r="L724" s="1259"/>
      <c r="M724" s="1257" t="s">
        <v>365</v>
      </c>
      <c r="N724" s="1259"/>
      <c r="O724" s="1259"/>
    </row>
    <row r="725" spans="1:15" ht="13.5" thickBot="1">
      <c r="C725" s="714" t="s">
        <v>177</v>
      </c>
      <c r="D725" s="715" t="s">
        <v>178</v>
      </c>
      <c r="E725" s="714" t="s">
        <v>37</v>
      </c>
      <c r="F725" s="715" t="s">
        <v>178</v>
      </c>
      <c r="G725" s="1260" t="s">
        <v>298</v>
      </c>
      <c r="H725" s="1261" t="s">
        <v>300</v>
      </c>
      <c r="I725" s="718" t="s">
        <v>389</v>
      </c>
      <c r="J725" s="719"/>
      <c r="K725" s="1260" t="s">
        <v>287</v>
      </c>
      <c r="L725" s="1262"/>
      <c r="M725" s="1260" t="s">
        <v>300</v>
      </c>
      <c r="N725" s="1262"/>
      <c r="O725" s="1262"/>
    </row>
    <row r="726" spans="1:15">
      <c r="C726" s="720">
        <f>IF(D720= "","-",D720)</f>
        <v>2013</v>
      </c>
      <c r="D726" s="673">
        <f>+D719</f>
        <v>118332</v>
      </c>
      <c r="E726" s="1263">
        <f>+I723/12*(12-D721)</f>
        <v>2465.25</v>
      </c>
      <c r="F726" s="673">
        <f t="shared" ref="F726:F785" si="42">+D726-E726</f>
        <v>115866.75</v>
      </c>
      <c r="G726" s="1264">
        <f>+$I$721*((D726+F726)/2)+E726</f>
        <v>20429.762364322025</v>
      </c>
      <c r="H726" s="1265">
        <f>$I$722*((D726+F726)/2)+E726</f>
        <v>20429.762364322025</v>
      </c>
      <c r="I726" s="724">
        <f>+H726-G726</f>
        <v>0</v>
      </c>
      <c r="J726" s="724"/>
      <c r="K726" s="868">
        <v>0</v>
      </c>
      <c r="L726" s="725"/>
      <c r="M726" s="868">
        <v>0</v>
      </c>
      <c r="N726" s="725"/>
      <c r="O726" s="725"/>
    </row>
    <row r="727" spans="1:15">
      <c r="C727" s="720">
        <f>IF(D720="","-",+C726+1)</f>
        <v>2014</v>
      </c>
      <c r="D727" s="673">
        <f t="shared" ref="D727:D785" si="43">F726</f>
        <v>115866.75</v>
      </c>
      <c r="E727" s="726">
        <f>IF(D727&gt;$I$723,$I$723,D727)</f>
        <v>2689.3636363636365</v>
      </c>
      <c r="F727" s="673">
        <f t="shared" si="42"/>
        <v>113177.38636363637</v>
      </c>
      <c r="G727" s="1263">
        <f t="shared" ref="G727:G785" si="44">+$I$721*((D727+F727)/2)+E727</f>
        <v>20258.484819461348</v>
      </c>
      <c r="H727" s="1266">
        <f t="shared" ref="H727:H785" si="45">$I$722*((D727+F727)/2)+E727</f>
        <v>20258.484819461348</v>
      </c>
      <c r="I727" s="724">
        <f t="shared" ref="I727:I785" si="46">+H727-G727</f>
        <v>0</v>
      </c>
      <c r="J727" s="724"/>
      <c r="K727" s="869">
        <v>25862</v>
      </c>
      <c r="L727" s="729"/>
      <c r="M727" s="869">
        <v>25862</v>
      </c>
      <c r="N727" s="729"/>
      <c r="O727" s="729"/>
    </row>
    <row r="728" spans="1:15">
      <c r="C728" s="720">
        <f>IF(D720="","-",+C727+1)</f>
        <v>2015</v>
      </c>
      <c r="D728" s="673">
        <f t="shared" si="43"/>
        <v>113177.38636363637</v>
      </c>
      <c r="E728" s="726">
        <f t="shared" ref="E728:E785" si="47">IF(D728&gt;$I$723,$I$723,D728)</f>
        <v>2689.3636363636365</v>
      </c>
      <c r="F728" s="673">
        <f t="shared" si="42"/>
        <v>110488.02272727274</v>
      </c>
      <c r="G728" s="1263">
        <f t="shared" si="44"/>
        <v>19845.902717314239</v>
      </c>
      <c r="H728" s="1266">
        <f t="shared" si="45"/>
        <v>19845.902717314239</v>
      </c>
      <c r="I728" s="724">
        <f t="shared" si="46"/>
        <v>0</v>
      </c>
      <c r="J728" s="724"/>
      <c r="K728" s="869">
        <v>17942</v>
      </c>
      <c r="L728" s="729"/>
      <c r="M728" s="869">
        <v>17942</v>
      </c>
      <c r="N728" s="729"/>
      <c r="O728" s="729"/>
    </row>
    <row r="729" spans="1:15">
      <c r="C729" s="720">
        <f>IF(D720="","-",+C728+1)</f>
        <v>2016</v>
      </c>
      <c r="D729" s="673">
        <f t="shared" si="43"/>
        <v>110488.02272727274</v>
      </c>
      <c r="E729" s="726">
        <f t="shared" si="47"/>
        <v>2689.3636363636365</v>
      </c>
      <c r="F729" s="673">
        <f t="shared" si="42"/>
        <v>107798.6590909091</v>
      </c>
      <c r="G729" s="1263">
        <f t="shared" si="44"/>
        <v>19433.320615167129</v>
      </c>
      <c r="H729" s="1266">
        <f t="shared" si="45"/>
        <v>19433.320615167129</v>
      </c>
      <c r="I729" s="724">
        <f t="shared" si="46"/>
        <v>0</v>
      </c>
      <c r="J729" s="724"/>
      <c r="K729" s="869">
        <v>22706</v>
      </c>
      <c r="L729" s="729"/>
      <c r="M729" s="869">
        <v>22706</v>
      </c>
      <c r="N729" s="729"/>
      <c r="O729" s="729"/>
    </row>
    <row r="730" spans="1:15">
      <c r="C730" s="720">
        <f>IF(D720="","-",+C729+1)</f>
        <v>2017</v>
      </c>
      <c r="D730" s="673">
        <f t="shared" si="43"/>
        <v>107798.6590909091</v>
      </c>
      <c r="E730" s="726">
        <f t="shared" si="47"/>
        <v>2689.3636363636365</v>
      </c>
      <c r="F730" s="673">
        <f t="shared" si="42"/>
        <v>105109.29545454547</v>
      </c>
      <c r="G730" s="1263">
        <f t="shared" si="44"/>
        <v>19020.738513020024</v>
      </c>
      <c r="H730" s="1266">
        <f t="shared" si="45"/>
        <v>19020.738513020024</v>
      </c>
      <c r="I730" s="724">
        <f t="shared" si="46"/>
        <v>0</v>
      </c>
      <c r="J730" s="724"/>
      <c r="K730" s="869">
        <v>22935</v>
      </c>
      <c r="L730" s="729"/>
      <c r="M730" s="869">
        <v>22935</v>
      </c>
      <c r="N730" s="729"/>
      <c r="O730" s="729"/>
    </row>
    <row r="731" spans="1:15">
      <c r="C731" s="1268">
        <f>IF(D720="","-",+C730+1)</f>
        <v>2018</v>
      </c>
      <c r="D731" s="1269">
        <f t="shared" si="43"/>
        <v>105109.29545454547</v>
      </c>
      <c r="E731" s="1270">
        <f t="shared" si="47"/>
        <v>2689.3636363636365</v>
      </c>
      <c r="F731" s="1269">
        <f t="shared" si="42"/>
        <v>102419.93181818184</v>
      </c>
      <c r="G731" s="1271">
        <f t="shared" si="44"/>
        <v>18608.156410872914</v>
      </c>
      <c r="H731" s="1272">
        <f t="shared" si="45"/>
        <v>18608.156410872914</v>
      </c>
      <c r="I731" s="1273">
        <f t="shared" si="46"/>
        <v>0</v>
      </c>
      <c r="J731" s="724"/>
      <c r="K731" s="869"/>
      <c r="L731" s="729"/>
      <c r="M731" s="869"/>
      <c r="N731" s="729"/>
      <c r="O731" s="729"/>
    </row>
    <row r="732" spans="1:15">
      <c r="C732" s="720">
        <f>IF(D720="","-",+C731+1)</f>
        <v>2019</v>
      </c>
      <c r="D732" s="673">
        <f t="shared" si="43"/>
        <v>102419.93181818184</v>
      </c>
      <c r="E732" s="726">
        <f t="shared" si="47"/>
        <v>2689.3636363636365</v>
      </c>
      <c r="F732" s="673">
        <f t="shared" si="42"/>
        <v>99730.568181818206</v>
      </c>
      <c r="G732" s="1263">
        <f t="shared" si="44"/>
        <v>18195.574308725809</v>
      </c>
      <c r="H732" s="1266">
        <f t="shared" si="45"/>
        <v>18195.574308725809</v>
      </c>
      <c r="I732" s="724">
        <f t="shared" si="46"/>
        <v>0</v>
      </c>
      <c r="J732" s="724"/>
      <c r="K732" s="869"/>
      <c r="L732" s="729"/>
      <c r="M732" s="869"/>
      <c r="N732" s="729"/>
      <c r="O732" s="729"/>
    </row>
    <row r="733" spans="1:15">
      <c r="C733" s="720">
        <f>IF(D720="","-",+C732+1)</f>
        <v>2020</v>
      </c>
      <c r="D733" s="673">
        <f t="shared" si="43"/>
        <v>99730.568181818206</v>
      </c>
      <c r="E733" s="726">
        <f t="shared" si="47"/>
        <v>2689.3636363636365</v>
      </c>
      <c r="F733" s="673">
        <f t="shared" si="42"/>
        <v>97041.204545454573</v>
      </c>
      <c r="G733" s="1263">
        <f t="shared" si="44"/>
        <v>17782.9922065787</v>
      </c>
      <c r="H733" s="1266">
        <f t="shared" si="45"/>
        <v>17782.9922065787</v>
      </c>
      <c r="I733" s="724">
        <f t="shared" si="46"/>
        <v>0</v>
      </c>
      <c r="J733" s="724"/>
      <c r="K733" s="869"/>
      <c r="L733" s="729"/>
      <c r="M733" s="869"/>
      <c r="N733" s="729"/>
      <c r="O733" s="729"/>
    </row>
    <row r="734" spans="1:15">
      <c r="C734" s="720">
        <f>IF(D720="","-",+C733+1)</f>
        <v>2021</v>
      </c>
      <c r="D734" s="673">
        <f t="shared" si="43"/>
        <v>97041.204545454573</v>
      </c>
      <c r="E734" s="726">
        <f t="shared" si="47"/>
        <v>2689.3636363636365</v>
      </c>
      <c r="F734" s="673">
        <f t="shared" si="42"/>
        <v>94351.840909090941</v>
      </c>
      <c r="G734" s="1263">
        <f t="shared" si="44"/>
        <v>17370.410104431594</v>
      </c>
      <c r="H734" s="1266">
        <f t="shared" si="45"/>
        <v>17370.410104431594</v>
      </c>
      <c r="I734" s="724">
        <f t="shared" si="46"/>
        <v>0</v>
      </c>
      <c r="J734" s="724"/>
      <c r="K734" s="869"/>
      <c r="L734" s="729"/>
      <c r="M734" s="869"/>
      <c r="N734" s="729"/>
      <c r="O734" s="729"/>
    </row>
    <row r="735" spans="1:15">
      <c r="C735" s="720">
        <f>IF(D720="","-",+C734+1)</f>
        <v>2022</v>
      </c>
      <c r="D735" s="673">
        <f t="shared" si="43"/>
        <v>94351.840909090941</v>
      </c>
      <c r="E735" s="726">
        <f t="shared" si="47"/>
        <v>2689.3636363636365</v>
      </c>
      <c r="F735" s="673">
        <f t="shared" si="42"/>
        <v>91662.477272727308</v>
      </c>
      <c r="G735" s="1263">
        <f t="shared" si="44"/>
        <v>16957.828002284481</v>
      </c>
      <c r="H735" s="1266">
        <f t="shared" si="45"/>
        <v>16957.828002284481</v>
      </c>
      <c r="I735" s="724">
        <f t="shared" si="46"/>
        <v>0</v>
      </c>
      <c r="J735" s="724"/>
      <c r="K735" s="869"/>
      <c r="L735" s="729"/>
      <c r="M735" s="869"/>
      <c r="N735" s="729"/>
      <c r="O735" s="729"/>
    </row>
    <row r="736" spans="1:15">
      <c r="C736" s="720">
        <f>IF(D720="","-",+C735+1)</f>
        <v>2023</v>
      </c>
      <c r="D736" s="673">
        <f t="shared" si="43"/>
        <v>91662.477272727308</v>
      </c>
      <c r="E736" s="726">
        <f t="shared" si="47"/>
        <v>2689.3636363636365</v>
      </c>
      <c r="F736" s="673">
        <f t="shared" si="42"/>
        <v>88973.113636363676</v>
      </c>
      <c r="G736" s="1263">
        <f t="shared" si="44"/>
        <v>16545.245900137375</v>
      </c>
      <c r="H736" s="1266">
        <f t="shared" si="45"/>
        <v>16545.245900137375</v>
      </c>
      <c r="I736" s="724">
        <f t="shared" si="46"/>
        <v>0</v>
      </c>
      <c r="J736" s="724"/>
      <c r="K736" s="869"/>
      <c r="L736" s="729"/>
      <c r="M736" s="869"/>
      <c r="N736" s="729"/>
      <c r="O736" s="729"/>
    </row>
    <row r="737" spans="3:15">
      <c r="C737" s="720">
        <f>IF(D720="","-",+C736+1)</f>
        <v>2024</v>
      </c>
      <c r="D737" s="673">
        <f t="shared" si="43"/>
        <v>88973.113636363676</v>
      </c>
      <c r="E737" s="726">
        <f t="shared" si="47"/>
        <v>2689.3636363636365</v>
      </c>
      <c r="F737" s="673">
        <f t="shared" si="42"/>
        <v>86283.750000000044</v>
      </c>
      <c r="G737" s="1263">
        <f t="shared" si="44"/>
        <v>16132.663797990266</v>
      </c>
      <c r="H737" s="1266">
        <f t="shared" si="45"/>
        <v>16132.663797990266</v>
      </c>
      <c r="I737" s="724">
        <f t="shared" si="46"/>
        <v>0</v>
      </c>
      <c r="J737" s="724"/>
      <c r="K737" s="869"/>
      <c r="L737" s="729"/>
      <c r="M737" s="869"/>
      <c r="N737" s="729"/>
      <c r="O737" s="729"/>
    </row>
    <row r="738" spans="3:15">
      <c r="C738" s="720">
        <f>IF(D720="","-",+C737+1)</f>
        <v>2025</v>
      </c>
      <c r="D738" s="673">
        <f t="shared" si="43"/>
        <v>86283.750000000044</v>
      </c>
      <c r="E738" s="726">
        <f t="shared" si="47"/>
        <v>2689.3636363636365</v>
      </c>
      <c r="F738" s="673">
        <f t="shared" si="42"/>
        <v>83594.386363636411</v>
      </c>
      <c r="G738" s="1263">
        <f t="shared" si="44"/>
        <v>15720.081695843159</v>
      </c>
      <c r="H738" s="1266">
        <f t="shared" si="45"/>
        <v>15720.081695843159</v>
      </c>
      <c r="I738" s="724">
        <f t="shared" si="46"/>
        <v>0</v>
      </c>
      <c r="J738" s="724"/>
      <c r="K738" s="869"/>
      <c r="L738" s="729"/>
      <c r="M738" s="869"/>
      <c r="N738" s="729"/>
      <c r="O738" s="729"/>
    </row>
    <row r="739" spans="3:15">
      <c r="C739" s="720">
        <f>IF(D720="","-",+C738+1)</f>
        <v>2026</v>
      </c>
      <c r="D739" s="673">
        <f t="shared" si="43"/>
        <v>83594.386363636411</v>
      </c>
      <c r="E739" s="726">
        <f t="shared" si="47"/>
        <v>2689.3636363636365</v>
      </c>
      <c r="F739" s="673">
        <f t="shared" si="42"/>
        <v>80905.022727272779</v>
      </c>
      <c r="G739" s="1263">
        <f t="shared" si="44"/>
        <v>15307.499593696049</v>
      </c>
      <c r="H739" s="1266">
        <f t="shared" si="45"/>
        <v>15307.499593696049</v>
      </c>
      <c r="I739" s="724">
        <f t="shared" si="46"/>
        <v>0</v>
      </c>
      <c r="J739" s="724"/>
      <c r="K739" s="869"/>
      <c r="L739" s="729"/>
      <c r="M739" s="869"/>
      <c r="N739" s="729"/>
      <c r="O739" s="729"/>
    </row>
    <row r="740" spans="3:15">
      <c r="C740" s="720">
        <f>IF(D720="","-",+C739+1)</f>
        <v>2027</v>
      </c>
      <c r="D740" s="673">
        <f t="shared" si="43"/>
        <v>80905.022727272779</v>
      </c>
      <c r="E740" s="726">
        <f t="shared" si="47"/>
        <v>2689.3636363636365</v>
      </c>
      <c r="F740" s="673">
        <f t="shared" si="42"/>
        <v>78215.659090909146</v>
      </c>
      <c r="G740" s="1263">
        <f t="shared" si="44"/>
        <v>14894.917491548944</v>
      </c>
      <c r="H740" s="1266">
        <f t="shared" si="45"/>
        <v>14894.917491548944</v>
      </c>
      <c r="I740" s="724">
        <f t="shared" si="46"/>
        <v>0</v>
      </c>
      <c r="J740" s="724"/>
      <c r="K740" s="869"/>
      <c r="L740" s="729"/>
      <c r="M740" s="869"/>
      <c r="N740" s="729"/>
      <c r="O740" s="729"/>
    </row>
    <row r="741" spans="3:15">
      <c r="C741" s="720">
        <f>IF(D720="","-",+C740+1)</f>
        <v>2028</v>
      </c>
      <c r="D741" s="673">
        <f t="shared" si="43"/>
        <v>78215.659090909146</v>
      </c>
      <c r="E741" s="726">
        <f t="shared" si="47"/>
        <v>2689.3636363636365</v>
      </c>
      <c r="F741" s="673">
        <f t="shared" si="42"/>
        <v>75526.295454545514</v>
      </c>
      <c r="G741" s="1263">
        <f t="shared" si="44"/>
        <v>14482.335389401833</v>
      </c>
      <c r="H741" s="1266">
        <f t="shared" si="45"/>
        <v>14482.335389401833</v>
      </c>
      <c r="I741" s="724">
        <f t="shared" si="46"/>
        <v>0</v>
      </c>
      <c r="J741" s="724"/>
      <c r="K741" s="869"/>
      <c r="L741" s="729"/>
      <c r="M741" s="869"/>
      <c r="N741" s="729"/>
      <c r="O741" s="729"/>
    </row>
    <row r="742" spans="3:15">
      <c r="C742" s="720">
        <f>IF(D720="","-",+C741+1)</f>
        <v>2029</v>
      </c>
      <c r="D742" s="673">
        <f t="shared" si="43"/>
        <v>75526.295454545514</v>
      </c>
      <c r="E742" s="726">
        <f t="shared" si="47"/>
        <v>2689.3636363636365</v>
      </c>
      <c r="F742" s="673">
        <f t="shared" si="42"/>
        <v>72836.931818181882</v>
      </c>
      <c r="G742" s="1263">
        <f t="shared" si="44"/>
        <v>14069.753287254727</v>
      </c>
      <c r="H742" s="1266">
        <f t="shared" si="45"/>
        <v>14069.753287254727</v>
      </c>
      <c r="I742" s="724">
        <f t="shared" si="46"/>
        <v>0</v>
      </c>
      <c r="J742" s="724"/>
      <c r="K742" s="869"/>
      <c r="L742" s="729"/>
      <c r="M742" s="869"/>
      <c r="N742" s="729"/>
      <c r="O742" s="729"/>
    </row>
    <row r="743" spans="3:15">
      <c r="C743" s="720">
        <f>IF(D720="","-",+C742+1)</f>
        <v>2030</v>
      </c>
      <c r="D743" s="673">
        <f t="shared" si="43"/>
        <v>72836.931818181882</v>
      </c>
      <c r="E743" s="726">
        <f t="shared" si="47"/>
        <v>2689.3636363636365</v>
      </c>
      <c r="F743" s="673">
        <f t="shared" si="42"/>
        <v>70147.568181818249</v>
      </c>
      <c r="G743" s="1263">
        <f t="shared" si="44"/>
        <v>13657.171185107618</v>
      </c>
      <c r="H743" s="1266">
        <f t="shared" si="45"/>
        <v>13657.171185107618</v>
      </c>
      <c r="I743" s="724">
        <f t="shared" si="46"/>
        <v>0</v>
      </c>
      <c r="J743" s="724"/>
      <c r="K743" s="869"/>
      <c r="L743" s="729"/>
      <c r="M743" s="869"/>
      <c r="N743" s="729"/>
      <c r="O743" s="729"/>
    </row>
    <row r="744" spans="3:15">
      <c r="C744" s="720">
        <f>IF(D720="","-",+C743+1)</f>
        <v>2031</v>
      </c>
      <c r="D744" s="673">
        <f t="shared" si="43"/>
        <v>70147.568181818249</v>
      </c>
      <c r="E744" s="726">
        <f t="shared" si="47"/>
        <v>2689.3636363636365</v>
      </c>
      <c r="F744" s="673">
        <f t="shared" si="42"/>
        <v>67458.204545454617</v>
      </c>
      <c r="G744" s="1263">
        <f t="shared" si="44"/>
        <v>13244.58908296051</v>
      </c>
      <c r="H744" s="1266">
        <f t="shared" si="45"/>
        <v>13244.58908296051</v>
      </c>
      <c r="I744" s="724">
        <f t="shared" si="46"/>
        <v>0</v>
      </c>
      <c r="J744" s="724"/>
      <c r="K744" s="869"/>
      <c r="L744" s="729"/>
      <c r="M744" s="869"/>
      <c r="N744" s="729"/>
      <c r="O744" s="729"/>
    </row>
    <row r="745" spans="3:15">
      <c r="C745" s="720">
        <f>IF(D720="","-",+C744+1)</f>
        <v>2032</v>
      </c>
      <c r="D745" s="673">
        <f t="shared" si="43"/>
        <v>67458.204545454617</v>
      </c>
      <c r="E745" s="726">
        <f t="shared" si="47"/>
        <v>2689.3636363636365</v>
      </c>
      <c r="F745" s="673">
        <f t="shared" si="42"/>
        <v>64768.840909090977</v>
      </c>
      <c r="G745" s="1263">
        <f t="shared" si="44"/>
        <v>12832.006980813401</v>
      </c>
      <c r="H745" s="1266">
        <f t="shared" si="45"/>
        <v>12832.006980813401</v>
      </c>
      <c r="I745" s="724">
        <f t="shared" si="46"/>
        <v>0</v>
      </c>
      <c r="J745" s="724"/>
      <c r="K745" s="869"/>
      <c r="L745" s="729"/>
      <c r="M745" s="869"/>
      <c r="N745" s="729"/>
      <c r="O745" s="729"/>
    </row>
    <row r="746" spans="3:15">
      <c r="C746" s="720">
        <f>IF(D720="","-",+C745+1)</f>
        <v>2033</v>
      </c>
      <c r="D746" s="673">
        <f t="shared" si="43"/>
        <v>64768.840909090977</v>
      </c>
      <c r="E746" s="726">
        <f t="shared" si="47"/>
        <v>2689.3636363636365</v>
      </c>
      <c r="F746" s="673">
        <f t="shared" si="42"/>
        <v>62079.477272727338</v>
      </c>
      <c r="G746" s="1263">
        <f t="shared" si="44"/>
        <v>12419.424878666292</v>
      </c>
      <c r="H746" s="1266">
        <f t="shared" si="45"/>
        <v>12419.424878666292</v>
      </c>
      <c r="I746" s="724">
        <f t="shared" si="46"/>
        <v>0</v>
      </c>
      <c r="J746" s="724"/>
      <c r="K746" s="869"/>
      <c r="L746" s="729"/>
      <c r="M746" s="869"/>
      <c r="N746" s="729"/>
      <c r="O746" s="729"/>
    </row>
    <row r="747" spans="3:15">
      <c r="C747" s="720">
        <f>IF(D720="","-",+C746+1)</f>
        <v>2034</v>
      </c>
      <c r="D747" s="673">
        <f t="shared" si="43"/>
        <v>62079.477272727338</v>
      </c>
      <c r="E747" s="726">
        <f t="shared" si="47"/>
        <v>2689.3636363636365</v>
      </c>
      <c r="F747" s="673">
        <f t="shared" si="42"/>
        <v>59390.113636363698</v>
      </c>
      <c r="G747" s="1263">
        <f t="shared" si="44"/>
        <v>12006.842776519183</v>
      </c>
      <c r="H747" s="1266">
        <f t="shared" si="45"/>
        <v>12006.842776519183</v>
      </c>
      <c r="I747" s="724">
        <f t="shared" si="46"/>
        <v>0</v>
      </c>
      <c r="J747" s="724"/>
      <c r="K747" s="869"/>
      <c r="L747" s="729"/>
      <c r="M747" s="869"/>
      <c r="N747" s="729"/>
      <c r="O747" s="729"/>
    </row>
    <row r="748" spans="3:15">
      <c r="C748" s="720">
        <f>IF(D720="","-",+C747+1)</f>
        <v>2035</v>
      </c>
      <c r="D748" s="673">
        <f t="shared" si="43"/>
        <v>59390.113636363698</v>
      </c>
      <c r="E748" s="726">
        <f t="shared" si="47"/>
        <v>2689.3636363636365</v>
      </c>
      <c r="F748" s="673">
        <f t="shared" si="42"/>
        <v>56700.750000000058</v>
      </c>
      <c r="G748" s="1263">
        <f t="shared" si="44"/>
        <v>11594.260674372075</v>
      </c>
      <c r="H748" s="1266">
        <f t="shared" si="45"/>
        <v>11594.260674372075</v>
      </c>
      <c r="I748" s="724">
        <f t="shared" si="46"/>
        <v>0</v>
      </c>
      <c r="J748" s="724"/>
      <c r="K748" s="869"/>
      <c r="L748" s="729"/>
      <c r="M748" s="869"/>
      <c r="N748" s="729"/>
      <c r="O748" s="729"/>
    </row>
    <row r="749" spans="3:15">
      <c r="C749" s="720">
        <f>IF(D720="","-",+C748+1)</f>
        <v>2036</v>
      </c>
      <c r="D749" s="673">
        <f t="shared" si="43"/>
        <v>56700.750000000058</v>
      </c>
      <c r="E749" s="726">
        <f t="shared" si="47"/>
        <v>2689.3636363636365</v>
      </c>
      <c r="F749" s="673">
        <f t="shared" si="42"/>
        <v>54011.386363636419</v>
      </c>
      <c r="G749" s="1263">
        <f t="shared" si="44"/>
        <v>11181.678572224964</v>
      </c>
      <c r="H749" s="1266">
        <f t="shared" si="45"/>
        <v>11181.678572224964</v>
      </c>
      <c r="I749" s="724">
        <f t="shared" si="46"/>
        <v>0</v>
      </c>
      <c r="J749" s="724"/>
      <c r="K749" s="869"/>
      <c r="L749" s="729"/>
      <c r="M749" s="869"/>
      <c r="N749" s="729"/>
      <c r="O749" s="729"/>
    </row>
    <row r="750" spans="3:15">
      <c r="C750" s="720">
        <f>IF(D720="","-",+C749+1)</f>
        <v>2037</v>
      </c>
      <c r="D750" s="673">
        <f t="shared" si="43"/>
        <v>54011.386363636419</v>
      </c>
      <c r="E750" s="726">
        <f t="shared" si="47"/>
        <v>2689.3636363636365</v>
      </c>
      <c r="F750" s="673">
        <f t="shared" si="42"/>
        <v>51322.022727272779</v>
      </c>
      <c r="G750" s="1263">
        <f t="shared" si="44"/>
        <v>10769.096470077857</v>
      </c>
      <c r="H750" s="1266">
        <f t="shared" si="45"/>
        <v>10769.096470077857</v>
      </c>
      <c r="I750" s="724">
        <f t="shared" si="46"/>
        <v>0</v>
      </c>
      <c r="J750" s="724"/>
      <c r="K750" s="869"/>
      <c r="L750" s="729"/>
      <c r="M750" s="869"/>
      <c r="N750" s="729"/>
      <c r="O750" s="729"/>
    </row>
    <row r="751" spans="3:15">
      <c r="C751" s="720">
        <f>IF(D720="","-",+C750+1)</f>
        <v>2038</v>
      </c>
      <c r="D751" s="673">
        <f t="shared" si="43"/>
        <v>51322.022727272779</v>
      </c>
      <c r="E751" s="726">
        <f t="shared" si="47"/>
        <v>2689.3636363636365</v>
      </c>
      <c r="F751" s="673">
        <f t="shared" si="42"/>
        <v>48632.659090909139</v>
      </c>
      <c r="G751" s="1263">
        <f t="shared" si="44"/>
        <v>10356.514367930746</v>
      </c>
      <c r="H751" s="1266">
        <f t="shared" si="45"/>
        <v>10356.514367930746</v>
      </c>
      <c r="I751" s="724">
        <f t="shared" si="46"/>
        <v>0</v>
      </c>
      <c r="J751" s="724"/>
      <c r="K751" s="869"/>
      <c r="L751" s="729"/>
      <c r="M751" s="869"/>
      <c r="N751" s="729"/>
      <c r="O751" s="729"/>
    </row>
    <row r="752" spans="3:15">
      <c r="C752" s="720">
        <f>IF(D720="","-",+C751+1)</f>
        <v>2039</v>
      </c>
      <c r="D752" s="673">
        <f t="shared" si="43"/>
        <v>48632.659090909139</v>
      </c>
      <c r="E752" s="726">
        <f t="shared" si="47"/>
        <v>2689.3636363636365</v>
      </c>
      <c r="F752" s="673">
        <f t="shared" si="42"/>
        <v>45943.2954545455</v>
      </c>
      <c r="G752" s="1263">
        <f t="shared" si="44"/>
        <v>9943.9322657836383</v>
      </c>
      <c r="H752" s="1266">
        <f t="shared" si="45"/>
        <v>9943.9322657836383</v>
      </c>
      <c r="I752" s="724">
        <f t="shared" si="46"/>
        <v>0</v>
      </c>
      <c r="J752" s="724"/>
      <c r="K752" s="869"/>
      <c r="L752" s="729"/>
      <c r="M752" s="869"/>
      <c r="N752" s="729"/>
      <c r="O752" s="729"/>
    </row>
    <row r="753" spans="3:15">
      <c r="C753" s="720">
        <f>IF(D720="","-",+C752+1)</f>
        <v>2040</v>
      </c>
      <c r="D753" s="673">
        <f t="shared" si="43"/>
        <v>45943.2954545455</v>
      </c>
      <c r="E753" s="726">
        <f t="shared" si="47"/>
        <v>2689.3636363636365</v>
      </c>
      <c r="F753" s="673">
        <f t="shared" si="42"/>
        <v>43253.93181818186</v>
      </c>
      <c r="G753" s="1263">
        <f t="shared" si="44"/>
        <v>9531.3501636365272</v>
      </c>
      <c r="H753" s="1266">
        <f t="shared" si="45"/>
        <v>9531.3501636365272</v>
      </c>
      <c r="I753" s="724">
        <f t="shared" si="46"/>
        <v>0</v>
      </c>
      <c r="J753" s="724"/>
      <c r="K753" s="869"/>
      <c r="L753" s="729"/>
      <c r="M753" s="869"/>
      <c r="N753" s="729"/>
      <c r="O753" s="729"/>
    </row>
    <row r="754" spans="3:15">
      <c r="C754" s="720">
        <f>IF(D720="","-",+C753+1)</f>
        <v>2041</v>
      </c>
      <c r="D754" s="673">
        <f t="shared" si="43"/>
        <v>43253.93181818186</v>
      </c>
      <c r="E754" s="726">
        <f t="shared" si="47"/>
        <v>2689.3636363636365</v>
      </c>
      <c r="F754" s="673">
        <f t="shared" si="42"/>
        <v>40564.56818181822</v>
      </c>
      <c r="G754" s="1264">
        <f t="shared" si="44"/>
        <v>9118.7680614894198</v>
      </c>
      <c r="H754" s="1266">
        <f t="shared" si="45"/>
        <v>9118.7680614894198</v>
      </c>
      <c r="I754" s="724">
        <f t="shared" si="46"/>
        <v>0</v>
      </c>
      <c r="J754" s="724"/>
      <c r="K754" s="869"/>
      <c r="L754" s="729"/>
      <c r="M754" s="869"/>
      <c r="N754" s="729"/>
      <c r="O754" s="729"/>
    </row>
    <row r="755" spans="3:15">
      <c r="C755" s="720">
        <f>IF(D720="","-",+C754+1)</f>
        <v>2042</v>
      </c>
      <c r="D755" s="673">
        <f t="shared" si="43"/>
        <v>40564.56818181822</v>
      </c>
      <c r="E755" s="726">
        <f t="shared" si="47"/>
        <v>2689.3636363636365</v>
      </c>
      <c r="F755" s="673">
        <f t="shared" si="42"/>
        <v>37875.204545454581</v>
      </c>
      <c r="G755" s="1263">
        <f t="shared" si="44"/>
        <v>8706.1859593423105</v>
      </c>
      <c r="H755" s="1266">
        <f t="shared" si="45"/>
        <v>8706.1859593423105</v>
      </c>
      <c r="I755" s="724">
        <f t="shared" si="46"/>
        <v>0</v>
      </c>
      <c r="J755" s="724"/>
      <c r="K755" s="869"/>
      <c r="L755" s="729"/>
      <c r="M755" s="869"/>
      <c r="N755" s="729"/>
      <c r="O755" s="729"/>
    </row>
    <row r="756" spans="3:15">
      <c r="C756" s="720">
        <f>IF(D720="","-",+C755+1)</f>
        <v>2043</v>
      </c>
      <c r="D756" s="673">
        <f t="shared" si="43"/>
        <v>37875.204545454581</v>
      </c>
      <c r="E756" s="726">
        <f t="shared" si="47"/>
        <v>2689.3636363636365</v>
      </c>
      <c r="F756" s="673">
        <f t="shared" si="42"/>
        <v>35185.840909090941</v>
      </c>
      <c r="G756" s="1263">
        <f t="shared" si="44"/>
        <v>8293.6038571952013</v>
      </c>
      <c r="H756" s="1266">
        <f t="shared" si="45"/>
        <v>8293.6038571952013</v>
      </c>
      <c r="I756" s="724">
        <f t="shared" si="46"/>
        <v>0</v>
      </c>
      <c r="J756" s="724"/>
      <c r="K756" s="869"/>
      <c r="L756" s="729"/>
      <c r="M756" s="869"/>
      <c r="N756" s="729"/>
      <c r="O756" s="729"/>
    </row>
    <row r="757" spans="3:15">
      <c r="C757" s="720">
        <f>IF(D720="","-",+C756+1)</f>
        <v>2044</v>
      </c>
      <c r="D757" s="673">
        <f t="shared" si="43"/>
        <v>35185.840909090941</v>
      </c>
      <c r="E757" s="726">
        <f t="shared" si="47"/>
        <v>2689.3636363636365</v>
      </c>
      <c r="F757" s="673">
        <f t="shared" si="42"/>
        <v>32496.477272727305</v>
      </c>
      <c r="G757" s="1263">
        <f t="shared" si="44"/>
        <v>7881.021755048092</v>
      </c>
      <c r="H757" s="1266">
        <f t="shared" si="45"/>
        <v>7881.021755048092</v>
      </c>
      <c r="I757" s="724">
        <f t="shared" si="46"/>
        <v>0</v>
      </c>
      <c r="J757" s="724"/>
      <c r="K757" s="869"/>
      <c r="L757" s="729"/>
      <c r="M757" s="869"/>
      <c r="N757" s="729"/>
      <c r="O757" s="729"/>
    </row>
    <row r="758" spans="3:15">
      <c r="C758" s="720">
        <f>IF(D720="","-",+C757+1)</f>
        <v>2045</v>
      </c>
      <c r="D758" s="673">
        <f t="shared" si="43"/>
        <v>32496.477272727305</v>
      </c>
      <c r="E758" s="726">
        <f t="shared" si="47"/>
        <v>2689.3636363636365</v>
      </c>
      <c r="F758" s="673">
        <f t="shared" si="42"/>
        <v>29807.113636363669</v>
      </c>
      <c r="G758" s="1263">
        <f t="shared" si="44"/>
        <v>7468.4396529009828</v>
      </c>
      <c r="H758" s="1266">
        <f t="shared" si="45"/>
        <v>7468.4396529009828</v>
      </c>
      <c r="I758" s="724">
        <f t="shared" si="46"/>
        <v>0</v>
      </c>
      <c r="J758" s="724"/>
      <c r="K758" s="869"/>
      <c r="L758" s="729"/>
      <c r="M758" s="869"/>
      <c r="N758" s="729"/>
      <c r="O758" s="729"/>
    </row>
    <row r="759" spans="3:15">
      <c r="C759" s="720">
        <f>IF(D720="","-",+C758+1)</f>
        <v>2046</v>
      </c>
      <c r="D759" s="673">
        <f t="shared" si="43"/>
        <v>29807.113636363669</v>
      </c>
      <c r="E759" s="726">
        <f t="shared" si="47"/>
        <v>2689.3636363636365</v>
      </c>
      <c r="F759" s="673">
        <f t="shared" si="42"/>
        <v>27117.750000000033</v>
      </c>
      <c r="G759" s="1263">
        <f t="shared" si="44"/>
        <v>7055.8575507538753</v>
      </c>
      <c r="H759" s="1266">
        <f t="shared" si="45"/>
        <v>7055.8575507538753</v>
      </c>
      <c r="I759" s="724">
        <f t="shared" si="46"/>
        <v>0</v>
      </c>
      <c r="J759" s="724"/>
      <c r="K759" s="869"/>
      <c r="L759" s="729"/>
      <c r="M759" s="869"/>
      <c r="N759" s="729"/>
      <c r="O759" s="729"/>
    </row>
    <row r="760" spans="3:15">
      <c r="C760" s="720">
        <f>IF(D720="","-",+C759+1)</f>
        <v>2047</v>
      </c>
      <c r="D760" s="673">
        <f t="shared" si="43"/>
        <v>27117.750000000033</v>
      </c>
      <c r="E760" s="726">
        <f t="shared" si="47"/>
        <v>2689.3636363636365</v>
      </c>
      <c r="F760" s="673">
        <f t="shared" si="42"/>
        <v>24428.386363636397</v>
      </c>
      <c r="G760" s="1263">
        <f t="shared" si="44"/>
        <v>6643.2754486067661</v>
      </c>
      <c r="H760" s="1266">
        <f t="shared" si="45"/>
        <v>6643.2754486067661</v>
      </c>
      <c r="I760" s="724">
        <f t="shared" si="46"/>
        <v>0</v>
      </c>
      <c r="J760" s="724"/>
      <c r="K760" s="869"/>
      <c r="L760" s="729"/>
      <c r="M760" s="869"/>
      <c r="N760" s="729"/>
      <c r="O760" s="729"/>
    </row>
    <row r="761" spans="3:15">
      <c r="C761" s="720">
        <f>IF(D720="","-",+C760+1)</f>
        <v>2048</v>
      </c>
      <c r="D761" s="673">
        <f t="shared" si="43"/>
        <v>24428.386363636397</v>
      </c>
      <c r="E761" s="726">
        <f t="shared" si="47"/>
        <v>2689.3636363636365</v>
      </c>
      <c r="F761" s="673">
        <f t="shared" si="42"/>
        <v>21739.022727272761</v>
      </c>
      <c r="G761" s="1263">
        <f t="shared" si="44"/>
        <v>6230.6933464596577</v>
      </c>
      <c r="H761" s="1266">
        <f t="shared" si="45"/>
        <v>6230.6933464596577</v>
      </c>
      <c r="I761" s="724">
        <f t="shared" si="46"/>
        <v>0</v>
      </c>
      <c r="J761" s="724"/>
      <c r="K761" s="869"/>
      <c r="L761" s="729"/>
      <c r="M761" s="869"/>
      <c r="N761" s="729"/>
      <c r="O761" s="729"/>
    </row>
    <row r="762" spans="3:15">
      <c r="C762" s="720">
        <f>IF(D720="","-",+C761+1)</f>
        <v>2049</v>
      </c>
      <c r="D762" s="673">
        <f t="shared" si="43"/>
        <v>21739.022727272761</v>
      </c>
      <c r="E762" s="726">
        <f t="shared" si="47"/>
        <v>2689.3636363636365</v>
      </c>
      <c r="F762" s="673">
        <f t="shared" si="42"/>
        <v>19049.659090909125</v>
      </c>
      <c r="G762" s="1263">
        <f t="shared" si="44"/>
        <v>5818.1112443125494</v>
      </c>
      <c r="H762" s="1266">
        <f t="shared" si="45"/>
        <v>5818.1112443125494</v>
      </c>
      <c r="I762" s="724">
        <f t="shared" si="46"/>
        <v>0</v>
      </c>
      <c r="J762" s="724"/>
      <c r="K762" s="869"/>
      <c r="L762" s="729"/>
      <c r="M762" s="869"/>
      <c r="N762" s="729"/>
      <c r="O762" s="729"/>
    </row>
    <row r="763" spans="3:15">
      <c r="C763" s="720">
        <f>IF(D720="","-",+C762+1)</f>
        <v>2050</v>
      </c>
      <c r="D763" s="673">
        <f t="shared" si="43"/>
        <v>19049.659090909125</v>
      </c>
      <c r="E763" s="726">
        <f t="shared" si="47"/>
        <v>2689.3636363636365</v>
      </c>
      <c r="F763" s="673">
        <f t="shared" si="42"/>
        <v>16360.295454545489</v>
      </c>
      <c r="G763" s="1263">
        <f t="shared" si="44"/>
        <v>5405.5291421654401</v>
      </c>
      <c r="H763" s="1266">
        <f t="shared" si="45"/>
        <v>5405.5291421654401</v>
      </c>
      <c r="I763" s="724">
        <f t="shared" si="46"/>
        <v>0</v>
      </c>
      <c r="J763" s="724"/>
      <c r="K763" s="869"/>
      <c r="L763" s="729"/>
      <c r="M763" s="869"/>
      <c r="N763" s="729"/>
      <c r="O763" s="729"/>
    </row>
    <row r="764" spans="3:15">
      <c r="C764" s="720">
        <f>IF(D720="","-",+C763+1)</f>
        <v>2051</v>
      </c>
      <c r="D764" s="673">
        <f t="shared" si="43"/>
        <v>16360.295454545489</v>
      </c>
      <c r="E764" s="726">
        <f t="shared" si="47"/>
        <v>2689.3636363636365</v>
      </c>
      <c r="F764" s="673">
        <f t="shared" si="42"/>
        <v>13670.931818181853</v>
      </c>
      <c r="G764" s="1263">
        <f t="shared" si="44"/>
        <v>4992.9470400183318</v>
      </c>
      <c r="H764" s="1266">
        <f t="shared" si="45"/>
        <v>4992.9470400183318</v>
      </c>
      <c r="I764" s="724">
        <f t="shared" si="46"/>
        <v>0</v>
      </c>
      <c r="J764" s="724"/>
      <c r="K764" s="869"/>
      <c r="L764" s="729"/>
      <c r="M764" s="869"/>
      <c r="N764" s="729"/>
      <c r="O764" s="729"/>
    </row>
    <row r="765" spans="3:15">
      <c r="C765" s="720">
        <f>IF(D720="","-",+C764+1)</f>
        <v>2052</v>
      </c>
      <c r="D765" s="673">
        <f t="shared" si="43"/>
        <v>13670.931818181853</v>
      </c>
      <c r="E765" s="726">
        <f t="shared" si="47"/>
        <v>2689.3636363636365</v>
      </c>
      <c r="F765" s="673">
        <f t="shared" si="42"/>
        <v>10981.568181818217</v>
      </c>
      <c r="G765" s="1263">
        <f t="shared" si="44"/>
        <v>4580.3649378712234</v>
      </c>
      <c r="H765" s="1266">
        <f t="shared" si="45"/>
        <v>4580.3649378712234</v>
      </c>
      <c r="I765" s="724">
        <f t="shared" si="46"/>
        <v>0</v>
      </c>
      <c r="J765" s="724"/>
      <c r="K765" s="869"/>
      <c r="L765" s="729"/>
      <c r="M765" s="869"/>
      <c r="N765" s="729"/>
      <c r="O765" s="729"/>
    </row>
    <row r="766" spans="3:15">
      <c r="C766" s="720">
        <f>IF(D720="","-",+C765+1)</f>
        <v>2053</v>
      </c>
      <c r="D766" s="673">
        <f t="shared" si="43"/>
        <v>10981.568181818217</v>
      </c>
      <c r="E766" s="726">
        <f t="shared" si="47"/>
        <v>2689.3636363636365</v>
      </c>
      <c r="F766" s="673">
        <f t="shared" si="42"/>
        <v>8292.2045454545805</v>
      </c>
      <c r="G766" s="1263">
        <f t="shared" si="44"/>
        <v>4167.7828357241142</v>
      </c>
      <c r="H766" s="1266">
        <f t="shared" si="45"/>
        <v>4167.7828357241142</v>
      </c>
      <c r="I766" s="724">
        <f t="shared" si="46"/>
        <v>0</v>
      </c>
      <c r="J766" s="724"/>
      <c r="K766" s="869"/>
      <c r="L766" s="729"/>
      <c r="M766" s="869"/>
      <c r="N766" s="729"/>
      <c r="O766" s="729"/>
    </row>
    <row r="767" spans="3:15">
      <c r="C767" s="720">
        <f>IF(D720="","-",+C766+1)</f>
        <v>2054</v>
      </c>
      <c r="D767" s="673">
        <f t="shared" si="43"/>
        <v>8292.2045454545805</v>
      </c>
      <c r="E767" s="726">
        <f t="shared" si="47"/>
        <v>2689.3636363636365</v>
      </c>
      <c r="F767" s="673">
        <f t="shared" si="42"/>
        <v>5602.8409090909445</v>
      </c>
      <c r="G767" s="1263">
        <f t="shared" si="44"/>
        <v>3755.2007335770058</v>
      </c>
      <c r="H767" s="1266">
        <f t="shared" si="45"/>
        <v>3755.2007335770058</v>
      </c>
      <c r="I767" s="724">
        <f t="shared" si="46"/>
        <v>0</v>
      </c>
      <c r="J767" s="724"/>
      <c r="K767" s="869"/>
      <c r="L767" s="729"/>
      <c r="M767" s="869"/>
      <c r="N767" s="729"/>
      <c r="O767" s="729"/>
    </row>
    <row r="768" spans="3:15">
      <c r="C768" s="720">
        <f>IF(D720="","-",+C767+1)</f>
        <v>2055</v>
      </c>
      <c r="D768" s="673">
        <f t="shared" si="43"/>
        <v>5602.8409090909445</v>
      </c>
      <c r="E768" s="726">
        <f t="shared" si="47"/>
        <v>2689.3636363636365</v>
      </c>
      <c r="F768" s="673">
        <f t="shared" si="42"/>
        <v>2913.477272727308</v>
      </c>
      <c r="G768" s="1263">
        <f t="shared" si="44"/>
        <v>3342.6186314298975</v>
      </c>
      <c r="H768" s="1266">
        <f t="shared" si="45"/>
        <v>3342.6186314298975</v>
      </c>
      <c r="I768" s="724">
        <f t="shared" si="46"/>
        <v>0</v>
      </c>
      <c r="J768" s="724"/>
      <c r="K768" s="869"/>
      <c r="L768" s="729"/>
      <c r="M768" s="869"/>
      <c r="N768" s="729"/>
      <c r="O768" s="729"/>
    </row>
    <row r="769" spans="3:15">
      <c r="C769" s="720">
        <f>IF(D720="","-",+C768+1)</f>
        <v>2056</v>
      </c>
      <c r="D769" s="673">
        <f t="shared" si="43"/>
        <v>2913.477272727308</v>
      </c>
      <c r="E769" s="726">
        <f t="shared" si="47"/>
        <v>2689.3636363636365</v>
      </c>
      <c r="F769" s="673">
        <f t="shared" si="42"/>
        <v>224.1136363636715</v>
      </c>
      <c r="G769" s="1263">
        <f t="shared" si="44"/>
        <v>2930.0365292827887</v>
      </c>
      <c r="H769" s="1266">
        <f t="shared" si="45"/>
        <v>2930.0365292827887</v>
      </c>
      <c r="I769" s="724">
        <f t="shared" si="46"/>
        <v>0</v>
      </c>
      <c r="J769" s="724"/>
      <c r="K769" s="869"/>
      <c r="L769" s="729"/>
      <c r="M769" s="869"/>
      <c r="N769" s="729"/>
      <c r="O769" s="729"/>
    </row>
    <row r="770" spans="3:15">
      <c r="C770" s="720">
        <f>IF(D720="","-",+C769+1)</f>
        <v>2057</v>
      </c>
      <c r="D770" s="673">
        <f t="shared" si="43"/>
        <v>224.1136363636715</v>
      </c>
      <c r="E770" s="726">
        <f t="shared" si="47"/>
        <v>224.1136363636715</v>
      </c>
      <c r="F770" s="673">
        <f t="shared" si="42"/>
        <v>0</v>
      </c>
      <c r="G770" s="1263">
        <f t="shared" si="44"/>
        <v>241.30455728647038</v>
      </c>
      <c r="H770" s="1266">
        <f t="shared" si="45"/>
        <v>241.30455728647038</v>
      </c>
      <c r="I770" s="724">
        <f t="shared" si="46"/>
        <v>0</v>
      </c>
      <c r="J770" s="724"/>
      <c r="K770" s="869"/>
      <c r="L770" s="729"/>
      <c r="M770" s="869"/>
      <c r="N770" s="729"/>
      <c r="O770" s="729"/>
    </row>
    <row r="771" spans="3:15">
      <c r="C771" s="720">
        <f>IF(D720="","-",+C770+1)</f>
        <v>2058</v>
      </c>
      <c r="D771" s="673">
        <f t="shared" si="43"/>
        <v>0</v>
      </c>
      <c r="E771" s="726">
        <f t="shared" si="47"/>
        <v>0</v>
      </c>
      <c r="F771" s="673">
        <f t="shared" si="42"/>
        <v>0</v>
      </c>
      <c r="G771" s="1263">
        <f t="shared" si="44"/>
        <v>0</v>
      </c>
      <c r="H771" s="1266">
        <f t="shared" si="45"/>
        <v>0</v>
      </c>
      <c r="I771" s="724">
        <f t="shared" si="46"/>
        <v>0</v>
      </c>
      <c r="J771" s="724"/>
      <c r="K771" s="869"/>
      <c r="L771" s="729"/>
      <c r="M771" s="869"/>
      <c r="N771" s="729"/>
      <c r="O771" s="729"/>
    </row>
    <row r="772" spans="3:15">
      <c r="C772" s="720">
        <f>IF(D720="","-",+C771+1)</f>
        <v>2059</v>
      </c>
      <c r="D772" s="673">
        <f t="shared" si="43"/>
        <v>0</v>
      </c>
      <c r="E772" s="726">
        <f t="shared" si="47"/>
        <v>0</v>
      </c>
      <c r="F772" s="673">
        <f t="shared" si="42"/>
        <v>0</v>
      </c>
      <c r="G772" s="1263">
        <f t="shared" si="44"/>
        <v>0</v>
      </c>
      <c r="H772" s="1266">
        <f t="shared" si="45"/>
        <v>0</v>
      </c>
      <c r="I772" s="724">
        <f t="shared" si="46"/>
        <v>0</v>
      </c>
      <c r="J772" s="724"/>
      <c r="K772" s="869"/>
      <c r="L772" s="729"/>
      <c r="M772" s="869"/>
      <c r="N772" s="729"/>
      <c r="O772" s="729"/>
    </row>
    <row r="773" spans="3:15">
      <c r="C773" s="720">
        <f>IF(D720="","-",+C772+1)</f>
        <v>2060</v>
      </c>
      <c r="D773" s="673">
        <f t="shared" si="43"/>
        <v>0</v>
      </c>
      <c r="E773" s="726">
        <f t="shared" si="47"/>
        <v>0</v>
      </c>
      <c r="F773" s="673">
        <f t="shared" si="42"/>
        <v>0</v>
      </c>
      <c r="G773" s="1263">
        <f t="shared" si="44"/>
        <v>0</v>
      </c>
      <c r="H773" s="1266">
        <f t="shared" si="45"/>
        <v>0</v>
      </c>
      <c r="I773" s="724">
        <f t="shared" si="46"/>
        <v>0</v>
      </c>
      <c r="J773" s="724"/>
      <c r="K773" s="869"/>
      <c r="L773" s="729"/>
      <c r="M773" s="869"/>
      <c r="N773" s="729"/>
      <c r="O773" s="729"/>
    </row>
    <row r="774" spans="3:15">
      <c r="C774" s="720">
        <f>IF(D720="","-",+C773+1)</f>
        <v>2061</v>
      </c>
      <c r="D774" s="673">
        <f t="shared" si="43"/>
        <v>0</v>
      </c>
      <c r="E774" s="726">
        <f t="shared" si="47"/>
        <v>0</v>
      </c>
      <c r="F774" s="673">
        <f t="shared" si="42"/>
        <v>0</v>
      </c>
      <c r="G774" s="1263">
        <f t="shared" si="44"/>
        <v>0</v>
      </c>
      <c r="H774" s="1266">
        <f t="shared" si="45"/>
        <v>0</v>
      </c>
      <c r="I774" s="724">
        <f t="shared" si="46"/>
        <v>0</v>
      </c>
      <c r="J774" s="724"/>
      <c r="K774" s="869"/>
      <c r="L774" s="729"/>
      <c r="M774" s="869"/>
      <c r="N774" s="729"/>
      <c r="O774" s="729"/>
    </row>
    <row r="775" spans="3:15">
      <c r="C775" s="720">
        <f>IF(D720="","-",+C774+1)</f>
        <v>2062</v>
      </c>
      <c r="D775" s="673">
        <f t="shared" si="43"/>
        <v>0</v>
      </c>
      <c r="E775" s="726">
        <f t="shared" si="47"/>
        <v>0</v>
      </c>
      <c r="F775" s="673">
        <f t="shared" si="42"/>
        <v>0</v>
      </c>
      <c r="G775" s="1263">
        <f t="shared" si="44"/>
        <v>0</v>
      </c>
      <c r="H775" s="1266">
        <f t="shared" si="45"/>
        <v>0</v>
      </c>
      <c r="I775" s="724">
        <f t="shared" si="46"/>
        <v>0</v>
      </c>
      <c r="J775" s="724"/>
      <c r="K775" s="869"/>
      <c r="L775" s="729"/>
      <c r="M775" s="869"/>
      <c r="N775" s="729"/>
      <c r="O775" s="729"/>
    </row>
    <row r="776" spans="3:15">
      <c r="C776" s="720">
        <f>IF(D720="","-",+C775+1)</f>
        <v>2063</v>
      </c>
      <c r="D776" s="673">
        <f t="shared" si="43"/>
        <v>0</v>
      </c>
      <c r="E776" s="726">
        <f t="shared" si="47"/>
        <v>0</v>
      </c>
      <c r="F776" s="673">
        <f t="shared" si="42"/>
        <v>0</v>
      </c>
      <c r="G776" s="1263">
        <f t="shared" si="44"/>
        <v>0</v>
      </c>
      <c r="H776" s="1266">
        <f t="shared" si="45"/>
        <v>0</v>
      </c>
      <c r="I776" s="724">
        <f t="shared" si="46"/>
        <v>0</v>
      </c>
      <c r="J776" s="724"/>
      <c r="K776" s="869"/>
      <c r="L776" s="729"/>
      <c r="M776" s="869"/>
      <c r="N776" s="729"/>
      <c r="O776" s="729"/>
    </row>
    <row r="777" spans="3:15">
      <c r="C777" s="720">
        <f>IF(D720="","-",+C776+1)</f>
        <v>2064</v>
      </c>
      <c r="D777" s="673">
        <f t="shared" si="43"/>
        <v>0</v>
      </c>
      <c r="E777" s="726">
        <f t="shared" si="47"/>
        <v>0</v>
      </c>
      <c r="F777" s="673">
        <f t="shared" si="42"/>
        <v>0</v>
      </c>
      <c r="G777" s="1263">
        <f t="shared" si="44"/>
        <v>0</v>
      </c>
      <c r="H777" s="1266">
        <f t="shared" si="45"/>
        <v>0</v>
      </c>
      <c r="I777" s="724">
        <f t="shared" si="46"/>
        <v>0</v>
      </c>
      <c r="J777" s="724"/>
      <c r="K777" s="869"/>
      <c r="L777" s="729"/>
      <c r="M777" s="869"/>
      <c r="N777" s="729"/>
      <c r="O777" s="729"/>
    </row>
    <row r="778" spans="3:15">
      <c r="C778" s="720">
        <f>IF(D720="","-",+C777+1)</f>
        <v>2065</v>
      </c>
      <c r="D778" s="673">
        <f t="shared" si="43"/>
        <v>0</v>
      </c>
      <c r="E778" s="726">
        <f t="shared" si="47"/>
        <v>0</v>
      </c>
      <c r="F778" s="673">
        <f t="shared" si="42"/>
        <v>0</v>
      </c>
      <c r="G778" s="1263">
        <f t="shared" si="44"/>
        <v>0</v>
      </c>
      <c r="H778" s="1266">
        <f t="shared" si="45"/>
        <v>0</v>
      </c>
      <c r="I778" s="724">
        <f t="shared" si="46"/>
        <v>0</v>
      </c>
      <c r="J778" s="724"/>
      <c r="K778" s="869"/>
      <c r="L778" s="729"/>
      <c r="M778" s="869"/>
      <c r="N778" s="729"/>
      <c r="O778" s="729"/>
    </row>
    <row r="779" spans="3:15">
      <c r="C779" s="720">
        <f>IF(D720="","-",+C778+1)</f>
        <v>2066</v>
      </c>
      <c r="D779" s="673">
        <f t="shared" si="43"/>
        <v>0</v>
      </c>
      <c r="E779" s="726">
        <f t="shared" si="47"/>
        <v>0</v>
      </c>
      <c r="F779" s="673">
        <f t="shared" si="42"/>
        <v>0</v>
      </c>
      <c r="G779" s="1263">
        <f t="shared" si="44"/>
        <v>0</v>
      </c>
      <c r="H779" s="1266">
        <f t="shared" si="45"/>
        <v>0</v>
      </c>
      <c r="I779" s="724">
        <f t="shared" si="46"/>
        <v>0</v>
      </c>
      <c r="J779" s="724"/>
      <c r="K779" s="869"/>
      <c r="L779" s="729"/>
      <c r="M779" s="869"/>
      <c r="N779" s="729"/>
      <c r="O779" s="729"/>
    </row>
    <row r="780" spans="3:15">
      <c r="C780" s="720">
        <f>IF(D720="","-",+C779+1)</f>
        <v>2067</v>
      </c>
      <c r="D780" s="673">
        <f t="shared" si="43"/>
        <v>0</v>
      </c>
      <c r="E780" s="726">
        <f t="shared" si="47"/>
        <v>0</v>
      </c>
      <c r="F780" s="673">
        <f t="shared" si="42"/>
        <v>0</v>
      </c>
      <c r="G780" s="1263">
        <f t="shared" si="44"/>
        <v>0</v>
      </c>
      <c r="H780" s="1266">
        <f t="shared" si="45"/>
        <v>0</v>
      </c>
      <c r="I780" s="724">
        <f t="shared" si="46"/>
        <v>0</v>
      </c>
      <c r="J780" s="724"/>
      <c r="K780" s="869"/>
      <c r="L780" s="729"/>
      <c r="M780" s="869"/>
      <c r="N780" s="729"/>
      <c r="O780" s="729"/>
    </row>
    <row r="781" spans="3:15">
      <c r="C781" s="720">
        <f>IF(D720="","-",+C780+1)</f>
        <v>2068</v>
      </c>
      <c r="D781" s="673">
        <f t="shared" si="43"/>
        <v>0</v>
      </c>
      <c r="E781" s="726">
        <f t="shared" si="47"/>
        <v>0</v>
      </c>
      <c r="F781" s="673">
        <f t="shared" si="42"/>
        <v>0</v>
      </c>
      <c r="G781" s="1263">
        <f t="shared" si="44"/>
        <v>0</v>
      </c>
      <c r="H781" s="1266">
        <f t="shared" si="45"/>
        <v>0</v>
      </c>
      <c r="I781" s="724">
        <f t="shared" si="46"/>
        <v>0</v>
      </c>
      <c r="J781" s="724"/>
      <c r="K781" s="869"/>
      <c r="L781" s="729"/>
      <c r="M781" s="869"/>
      <c r="N781" s="729"/>
      <c r="O781" s="729"/>
    </row>
    <row r="782" spans="3:15">
      <c r="C782" s="720">
        <f>IF(D720="","-",+C781+1)</f>
        <v>2069</v>
      </c>
      <c r="D782" s="673">
        <f t="shared" si="43"/>
        <v>0</v>
      </c>
      <c r="E782" s="726">
        <f t="shared" si="47"/>
        <v>0</v>
      </c>
      <c r="F782" s="673">
        <f t="shared" si="42"/>
        <v>0</v>
      </c>
      <c r="G782" s="1263">
        <f t="shared" si="44"/>
        <v>0</v>
      </c>
      <c r="H782" s="1266">
        <f t="shared" si="45"/>
        <v>0</v>
      </c>
      <c r="I782" s="724">
        <f t="shared" si="46"/>
        <v>0</v>
      </c>
      <c r="J782" s="724"/>
      <c r="K782" s="869"/>
      <c r="L782" s="729"/>
      <c r="M782" s="869"/>
      <c r="N782" s="729"/>
      <c r="O782" s="729"/>
    </row>
    <row r="783" spans="3:15">
      <c r="C783" s="720">
        <f>IF(D720="","-",+C782+1)</f>
        <v>2070</v>
      </c>
      <c r="D783" s="673">
        <f t="shared" si="43"/>
        <v>0</v>
      </c>
      <c r="E783" s="726">
        <f t="shared" si="47"/>
        <v>0</v>
      </c>
      <c r="F783" s="673">
        <f t="shared" si="42"/>
        <v>0</v>
      </c>
      <c r="G783" s="1263">
        <f t="shared" si="44"/>
        <v>0</v>
      </c>
      <c r="H783" s="1266">
        <f t="shared" si="45"/>
        <v>0</v>
      </c>
      <c r="I783" s="724">
        <f t="shared" si="46"/>
        <v>0</v>
      </c>
      <c r="J783" s="724"/>
      <c r="K783" s="869"/>
      <c r="L783" s="729"/>
      <c r="M783" s="869"/>
      <c r="N783" s="729"/>
      <c r="O783" s="729"/>
    </row>
    <row r="784" spans="3:15">
      <c r="C784" s="720">
        <f>IF(D720="","-",+C783+1)</f>
        <v>2071</v>
      </c>
      <c r="D784" s="673">
        <f t="shared" si="43"/>
        <v>0</v>
      </c>
      <c r="E784" s="726">
        <f t="shared" si="47"/>
        <v>0</v>
      </c>
      <c r="F784" s="673">
        <f t="shared" si="42"/>
        <v>0</v>
      </c>
      <c r="G784" s="1263">
        <f t="shared" si="44"/>
        <v>0</v>
      </c>
      <c r="H784" s="1266">
        <f t="shared" si="45"/>
        <v>0</v>
      </c>
      <c r="I784" s="724">
        <f t="shared" si="46"/>
        <v>0</v>
      </c>
      <c r="J784" s="724"/>
      <c r="K784" s="869"/>
      <c r="L784" s="729"/>
      <c r="M784" s="869"/>
      <c r="N784" s="729"/>
      <c r="O784" s="729"/>
    </row>
    <row r="785" spans="1:16" ht="13.5" thickBot="1">
      <c r="C785" s="730">
        <f>IF(D720="","-",+C784+1)</f>
        <v>2072</v>
      </c>
      <c r="D785" s="731">
        <f t="shared" si="43"/>
        <v>0</v>
      </c>
      <c r="E785" s="732">
        <f t="shared" si="47"/>
        <v>0</v>
      </c>
      <c r="F785" s="731">
        <f t="shared" si="42"/>
        <v>0</v>
      </c>
      <c r="G785" s="1274">
        <f t="shared" si="44"/>
        <v>0</v>
      </c>
      <c r="H785" s="1274">
        <f t="shared" si="45"/>
        <v>0</v>
      </c>
      <c r="I785" s="734">
        <f t="shared" si="46"/>
        <v>0</v>
      </c>
      <c r="J785" s="724"/>
      <c r="K785" s="870"/>
      <c r="L785" s="736"/>
      <c r="M785" s="870"/>
      <c r="N785" s="736"/>
      <c r="O785" s="736"/>
    </row>
    <row r="786" spans="1:16">
      <c r="C786" s="673" t="s">
        <v>288</v>
      </c>
      <c r="D786" s="1242"/>
      <c r="E786" s="673"/>
      <c r="F786" s="1242"/>
      <c r="G786" s="1242">
        <f>SUM(G726:G785)</f>
        <v>519224.27591960761</v>
      </c>
      <c r="H786" s="1242">
        <f>SUM(H726:H785)</f>
        <v>519224.27591960761</v>
      </c>
      <c r="I786" s="1242">
        <f>SUM(I726:I785)</f>
        <v>0</v>
      </c>
      <c r="J786" s="1242"/>
      <c r="K786" s="1242"/>
      <c r="L786" s="1242"/>
      <c r="M786" s="1242"/>
      <c r="N786" s="1242"/>
      <c r="O786" s="542"/>
    </row>
    <row r="787" spans="1:16">
      <c r="D787" s="563"/>
      <c r="E787" s="542"/>
      <c r="F787" s="542"/>
      <c r="G787" s="542"/>
      <c r="H787" s="1241"/>
      <c r="I787" s="1241"/>
      <c r="J787" s="1242"/>
      <c r="K787" s="1241"/>
      <c r="L787" s="1241"/>
      <c r="M787" s="1241"/>
      <c r="N787" s="1241"/>
      <c r="O787" s="542"/>
    </row>
    <row r="788" spans="1:16">
      <c r="C788" s="542" t="s">
        <v>595</v>
      </c>
      <c r="D788" s="563"/>
      <c r="E788" s="542"/>
      <c r="F788" s="542"/>
      <c r="G788" s="542"/>
      <c r="H788" s="1241"/>
      <c r="I788" s="1241"/>
      <c r="J788" s="1242"/>
      <c r="K788" s="1241"/>
      <c r="L788" s="1241"/>
      <c r="M788" s="1241"/>
      <c r="N788" s="1241"/>
      <c r="O788" s="542"/>
    </row>
    <row r="789" spans="1:16">
      <c r="C789" s="542"/>
      <c r="D789" s="563"/>
      <c r="E789" s="542"/>
      <c r="F789" s="542"/>
      <c r="G789" s="542"/>
      <c r="H789" s="1241"/>
      <c r="I789" s="1241"/>
      <c r="J789" s="1242"/>
      <c r="K789" s="1241"/>
      <c r="L789" s="1241"/>
      <c r="M789" s="1241"/>
      <c r="N789" s="1241"/>
      <c r="O789" s="542"/>
    </row>
    <row r="790" spans="1:16">
      <c r="C790" s="684" t="s">
        <v>934</v>
      </c>
      <c r="D790" s="673"/>
      <c r="E790" s="673"/>
      <c r="F790" s="673"/>
      <c r="G790" s="1242"/>
      <c r="H790" s="1242"/>
      <c r="I790" s="674"/>
      <c r="J790" s="674"/>
      <c r="K790" s="674"/>
      <c r="L790" s="674"/>
      <c r="M790" s="674"/>
      <c r="N790" s="674"/>
      <c r="O790" s="542"/>
    </row>
    <row r="791" spans="1:16">
      <c r="C791" s="684" t="s">
        <v>476</v>
      </c>
      <c r="D791" s="673"/>
      <c r="E791" s="673"/>
      <c r="F791" s="673"/>
      <c r="G791" s="1242"/>
      <c r="H791" s="1242"/>
      <c r="I791" s="674"/>
      <c r="J791" s="674"/>
      <c r="K791" s="674"/>
      <c r="L791" s="674"/>
      <c r="M791" s="674"/>
      <c r="N791" s="674"/>
      <c r="O791" s="542"/>
    </row>
    <row r="792" spans="1:16">
      <c r="C792" s="672" t="s">
        <v>289</v>
      </c>
      <c r="D792" s="673"/>
      <c r="E792" s="673"/>
      <c r="F792" s="673"/>
      <c r="G792" s="1242"/>
      <c r="H792" s="1242"/>
      <c r="I792" s="674"/>
      <c r="J792" s="674"/>
      <c r="K792" s="674"/>
      <c r="L792" s="674"/>
      <c r="M792" s="674"/>
      <c r="N792" s="674"/>
      <c r="O792" s="542"/>
    </row>
    <row r="793" spans="1:16">
      <c r="C793" s="672"/>
      <c r="D793" s="673"/>
      <c r="E793" s="673"/>
      <c r="F793" s="673"/>
      <c r="G793" s="1242"/>
      <c r="H793" s="1242"/>
      <c r="I793" s="674"/>
      <c r="J793" s="674"/>
      <c r="K793" s="674"/>
      <c r="L793" s="674"/>
      <c r="M793" s="674"/>
      <c r="N793" s="674"/>
      <c r="O793" s="542"/>
    </row>
    <row r="794" spans="1:16">
      <c r="C794" s="1701" t="s">
        <v>460</v>
      </c>
      <c r="D794" s="1701"/>
      <c r="E794" s="1701"/>
      <c r="F794" s="1701"/>
      <c r="G794" s="1701"/>
      <c r="H794" s="1701"/>
      <c r="I794" s="1701"/>
      <c r="J794" s="1701"/>
      <c r="K794" s="1701"/>
      <c r="L794" s="1701"/>
      <c r="M794" s="1701"/>
      <c r="N794" s="1701"/>
      <c r="O794" s="1701"/>
    </row>
    <row r="795" spans="1:16">
      <c r="C795" s="1701"/>
      <c r="D795" s="1701"/>
      <c r="E795" s="1701"/>
      <c r="F795" s="1701"/>
      <c r="G795" s="1701"/>
      <c r="H795" s="1701"/>
      <c r="I795" s="1701"/>
      <c r="J795" s="1701"/>
      <c r="K795" s="1701"/>
      <c r="L795" s="1701"/>
      <c r="M795" s="1701"/>
      <c r="N795" s="1701"/>
      <c r="O795" s="1701"/>
    </row>
    <row r="796" spans="1:16" ht="20.25">
      <c r="A796" s="675" t="s">
        <v>931</v>
      </c>
      <c r="B796" s="576"/>
      <c r="C796" s="655"/>
      <c r="D796" s="563"/>
      <c r="E796" s="542"/>
      <c r="F796" s="645"/>
      <c r="G796" s="542"/>
      <c r="H796" s="1241"/>
      <c r="K796" s="676"/>
      <c r="L796" s="676"/>
      <c r="M796" s="676"/>
      <c r="N796" s="591" t="str">
        <f>"Page "&amp;SUM(P$6:P796)&amp;" of "</f>
        <v xml:space="preserve">Page 9 of </v>
      </c>
      <c r="O796" s="592">
        <f>COUNT(P$6:P$59579)</f>
        <v>22</v>
      </c>
      <c r="P796" s="542">
        <v>1</v>
      </c>
    </row>
    <row r="797" spans="1:16">
      <c r="B797" s="576"/>
      <c r="C797" s="542"/>
      <c r="D797" s="563"/>
      <c r="E797" s="542"/>
      <c r="F797" s="542"/>
      <c r="G797" s="542"/>
      <c r="H797" s="1241"/>
      <c r="I797" s="542"/>
      <c r="J797" s="588"/>
      <c r="K797" s="542"/>
      <c r="L797" s="542"/>
      <c r="M797" s="542"/>
      <c r="N797" s="542"/>
      <c r="O797" s="542"/>
    </row>
    <row r="798" spans="1:16" ht="18">
      <c r="B798" s="595" t="s">
        <v>174</v>
      </c>
      <c r="C798" s="677" t="s">
        <v>290</v>
      </c>
      <c r="D798" s="563"/>
      <c r="E798" s="542"/>
      <c r="F798" s="542"/>
      <c r="G798" s="542"/>
      <c r="H798" s="1241"/>
      <c r="I798" s="1241"/>
      <c r="J798" s="1242"/>
      <c r="K798" s="1241"/>
      <c r="L798" s="1241"/>
      <c r="M798" s="1241"/>
      <c r="N798" s="1241"/>
      <c r="O798" s="542"/>
    </row>
    <row r="799" spans="1:16" ht="18.75">
      <c r="B799" s="595"/>
      <c r="C799" s="594"/>
      <c r="D799" s="563"/>
      <c r="E799" s="542"/>
      <c r="F799" s="542"/>
      <c r="G799" s="542"/>
      <c r="H799" s="1241"/>
      <c r="I799" s="1241"/>
      <c r="J799" s="1242"/>
      <c r="K799" s="1241"/>
      <c r="L799" s="1241"/>
      <c r="M799" s="1241"/>
      <c r="N799" s="1241"/>
      <c r="O799" s="542"/>
    </row>
    <row r="800" spans="1:16" ht="18.75">
      <c r="B800" s="595"/>
      <c r="C800" s="594" t="s">
        <v>291</v>
      </c>
      <c r="D800" s="563"/>
      <c r="E800" s="542"/>
      <c r="F800" s="542"/>
      <c r="G800" s="542"/>
      <c r="H800" s="1241"/>
      <c r="I800" s="1241"/>
      <c r="J800" s="1242"/>
      <c r="K800" s="1241"/>
      <c r="L800" s="1241"/>
      <c r="M800" s="1241"/>
      <c r="N800" s="1241"/>
      <c r="O800" s="542"/>
    </row>
    <row r="801" spans="1:15" ht="15.75" thickBot="1">
      <c r="C801" s="396"/>
      <c r="D801" s="563"/>
      <c r="E801" s="542"/>
      <c r="F801" s="542"/>
      <c r="G801" s="542"/>
      <c r="H801" s="1241"/>
      <c r="I801" s="1241"/>
      <c r="J801" s="1242"/>
      <c r="K801" s="1241"/>
      <c r="L801" s="1241"/>
      <c r="M801" s="1241"/>
      <c r="N801" s="1241"/>
      <c r="O801" s="542"/>
    </row>
    <row r="802" spans="1:15" ht="15.75">
      <c r="C802" s="596" t="s">
        <v>292</v>
      </c>
      <c r="D802" s="563"/>
      <c r="E802" s="542"/>
      <c r="F802" s="542"/>
      <c r="G802" s="1276"/>
      <c r="H802" s="542" t="s">
        <v>271</v>
      </c>
      <c r="I802" s="542"/>
      <c r="J802" s="588"/>
      <c r="K802" s="678" t="s">
        <v>296</v>
      </c>
      <c r="L802" s="679"/>
      <c r="M802" s="680"/>
      <c r="N802" s="1244">
        <f>VLOOKUP(I808,C815:O874,5)</f>
        <v>570177.05205440777</v>
      </c>
      <c r="O802" s="542"/>
    </row>
    <row r="803" spans="1:15" ht="15.75">
      <c r="C803" s="596"/>
      <c r="D803" s="563"/>
      <c r="E803" s="542"/>
      <c r="F803" s="542"/>
      <c r="G803" s="542"/>
      <c r="H803" s="1245"/>
      <c r="I803" s="1245"/>
      <c r="J803" s="1246"/>
      <c r="K803" s="683" t="s">
        <v>297</v>
      </c>
      <c r="L803" s="1247"/>
      <c r="M803" s="588"/>
      <c r="N803" s="1248">
        <f>VLOOKUP(I808,C815:O874,6)</f>
        <v>570177.05205440777</v>
      </c>
      <c r="O803" s="542"/>
    </row>
    <row r="804" spans="1:15" ht="13.5" thickBot="1">
      <c r="C804" s="684" t="s">
        <v>293</v>
      </c>
      <c r="D804" s="1703" t="s">
        <v>942</v>
      </c>
      <c r="E804" s="1703"/>
      <c r="F804" s="1703"/>
      <c r="G804" s="1703"/>
      <c r="H804" s="1703"/>
      <c r="I804" s="1703"/>
      <c r="J804" s="1242"/>
      <c r="K804" s="1249" t="s">
        <v>450</v>
      </c>
      <c r="L804" s="1250"/>
      <c r="M804" s="1250"/>
      <c r="N804" s="1251">
        <f>+N803-N802</f>
        <v>0</v>
      </c>
      <c r="O804" s="542"/>
    </row>
    <row r="805" spans="1:15">
      <c r="C805" s="686"/>
      <c r="D805" s="687"/>
      <c r="E805" s="671"/>
      <c r="F805" s="671"/>
      <c r="G805" s="688"/>
      <c r="H805" s="1241"/>
      <c r="I805" s="1241"/>
      <c r="J805" s="1242"/>
      <c r="K805" s="1241"/>
      <c r="L805" s="1241"/>
      <c r="M805" s="1241"/>
      <c r="N805" s="1241"/>
      <c r="O805" s="542"/>
    </row>
    <row r="806" spans="1:15" ht="13.5" thickBot="1">
      <c r="C806" s="689"/>
      <c r="D806" s="1252"/>
      <c r="E806" s="688"/>
      <c r="F806" s="688"/>
      <c r="G806" s="688"/>
      <c r="H806" s="688"/>
      <c r="I806" s="688"/>
      <c r="J806" s="691"/>
      <c r="K806" s="688"/>
      <c r="L806" s="688"/>
      <c r="M806" s="688"/>
      <c r="N806" s="688"/>
      <c r="O806" s="576"/>
    </row>
    <row r="807" spans="1:15" ht="13.5" thickBot="1">
      <c r="C807" s="692" t="s">
        <v>294</v>
      </c>
      <c r="D807" s="693"/>
      <c r="E807" s="693"/>
      <c r="F807" s="693"/>
      <c r="G807" s="693"/>
      <c r="H807" s="693"/>
      <c r="I807" s="694"/>
      <c r="J807" s="695"/>
      <c r="K807" s="542"/>
      <c r="L807" s="542"/>
      <c r="M807" s="542"/>
      <c r="N807" s="542"/>
      <c r="O807" s="696"/>
    </row>
    <row r="808" spans="1:15" ht="15">
      <c r="C808" s="697" t="s">
        <v>272</v>
      </c>
      <c r="D808" s="1253">
        <v>3459640</v>
      </c>
      <c r="E808" s="655" t="s">
        <v>273</v>
      </c>
      <c r="G808" s="698"/>
      <c r="H808" s="698"/>
      <c r="I808" s="699">
        <v>2018</v>
      </c>
      <c r="J808" s="586"/>
      <c r="K808" s="1702" t="s">
        <v>459</v>
      </c>
      <c r="L808" s="1702"/>
      <c r="M808" s="1702"/>
      <c r="N808" s="1702"/>
      <c r="O808" s="1702"/>
    </row>
    <row r="809" spans="1:15">
      <c r="C809" s="697" t="s">
        <v>275</v>
      </c>
      <c r="D809" s="865">
        <v>2015</v>
      </c>
      <c r="E809" s="697" t="s">
        <v>276</v>
      </c>
      <c r="F809" s="698"/>
      <c r="H809" s="330"/>
      <c r="I809" s="1254">
        <f>IF(G802="",0,$F$15)</f>
        <v>0</v>
      </c>
      <c r="J809" s="700"/>
      <c r="K809" s="1242" t="s">
        <v>459</v>
      </c>
    </row>
    <row r="810" spans="1:15">
      <c r="C810" s="697" t="s">
        <v>277</v>
      </c>
      <c r="D810" s="1253">
        <v>3</v>
      </c>
      <c r="E810" s="697" t="s">
        <v>278</v>
      </c>
      <c r="F810" s="698"/>
      <c r="H810" s="330"/>
      <c r="I810" s="701">
        <f>$G$70</f>
        <v>0.15341253840442806</v>
      </c>
      <c r="J810" s="702"/>
      <c r="K810" s="330" t="str">
        <f>"          INPUT PROJECTED ARR (WITH &amp; WITHOUT INCENTIVES) FROM EACH PRIOR YEAR"</f>
        <v xml:space="preserve">          INPUT PROJECTED ARR (WITH &amp; WITHOUT INCENTIVES) FROM EACH PRIOR YEAR</v>
      </c>
    </row>
    <row r="811" spans="1:15">
      <c r="C811" s="697" t="s">
        <v>279</v>
      </c>
      <c r="D811" s="703">
        <f>G$79</f>
        <v>44</v>
      </c>
      <c r="E811" s="697" t="s">
        <v>280</v>
      </c>
      <c r="F811" s="698"/>
      <c r="H811" s="330"/>
      <c r="I811" s="701">
        <f>IF(G802="",I810,$G$67)</f>
        <v>0.15341253840442806</v>
      </c>
      <c r="J811" s="704"/>
      <c r="K811" s="330" t="s">
        <v>357</v>
      </c>
    </row>
    <row r="812" spans="1:15" ht="13.5" thickBot="1">
      <c r="C812" s="697" t="s">
        <v>281</v>
      </c>
      <c r="D812" s="866" t="s">
        <v>933</v>
      </c>
      <c r="E812" s="705" t="s">
        <v>282</v>
      </c>
      <c r="F812" s="706"/>
      <c r="G812" s="707"/>
      <c r="H812" s="707"/>
      <c r="I812" s="1251">
        <f>IF(D808=0,0,D808/D811)</f>
        <v>78628.181818181823</v>
      </c>
      <c r="J812" s="1242"/>
      <c r="K812" s="1242" t="s">
        <v>363</v>
      </c>
      <c r="L812" s="1242"/>
      <c r="M812" s="1242"/>
      <c r="N812" s="1242"/>
      <c r="O812" s="588"/>
    </row>
    <row r="813" spans="1:15" ht="51">
      <c r="A813" s="529"/>
      <c r="B813" s="1255"/>
      <c r="C813" s="708" t="s">
        <v>272</v>
      </c>
      <c r="D813" s="1256" t="s">
        <v>283</v>
      </c>
      <c r="E813" s="1257" t="s">
        <v>284</v>
      </c>
      <c r="F813" s="1256" t="s">
        <v>285</v>
      </c>
      <c r="G813" s="1257" t="s">
        <v>356</v>
      </c>
      <c r="H813" s="1258" t="s">
        <v>356</v>
      </c>
      <c r="I813" s="708" t="s">
        <v>295</v>
      </c>
      <c r="J813" s="712"/>
      <c r="K813" s="1257" t="s">
        <v>365</v>
      </c>
      <c r="L813" s="1259"/>
      <c r="M813" s="1257" t="s">
        <v>365</v>
      </c>
      <c r="N813" s="1259"/>
      <c r="O813" s="1259"/>
    </row>
    <row r="814" spans="1:15" ht="13.5" thickBot="1">
      <c r="C814" s="714" t="s">
        <v>177</v>
      </c>
      <c r="D814" s="715" t="s">
        <v>178</v>
      </c>
      <c r="E814" s="714" t="s">
        <v>37</v>
      </c>
      <c r="F814" s="715" t="s">
        <v>178</v>
      </c>
      <c r="G814" s="1260" t="s">
        <v>298</v>
      </c>
      <c r="H814" s="1261" t="s">
        <v>300</v>
      </c>
      <c r="I814" s="718" t="s">
        <v>389</v>
      </c>
      <c r="J814" s="719"/>
      <c r="K814" s="1260" t="s">
        <v>287</v>
      </c>
      <c r="L814" s="1262"/>
      <c r="M814" s="1260" t="s">
        <v>300</v>
      </c>
      <c r="N814" s="1262"/>
      <c r="O814" s="1262"/>
    </row>
    <row r="815" spans="1:15">
      <c r="C815" s="720">
        <f>IF(D809= "","-",D809)</f>
        <v>2015</v>
      </c>
      <c r="D815" s="673">
        <f>+D808</f>
        <v>3459640</v>
      </c>
      <c r="E815" s="1263">
        <f>+I812/12*(12-D810)</f>
        <v>58971.136363636368</v>
      </c>
      <c r="F815" s="673">
        <f t="shared" ref="F815:F874" si="48">+D815-E815</f>
        <v>3400668.8636363638</v>
      </c>
      <c r="G815" s="1264">
        <f>+$I$810*((D815+F815)/2)+E815</f>
        <v>585199.83486806229</v>
      </c>
      <c r="H815" s="1265">
        <f>$I$811*((D815+F815)/2)+E815</f>
        <v>585199.83486806229</v>
      </c>
      <c r="I815" s="724">
        <f>+H815-G815</f>
        <v>0</v>
      </c>
      <c r="J815" s="724"/>
      <c r="K815" s="868">
        <v>652736</v>
      </c>
      <c r="L815" s="725"/>
      <c r="M815" s="868">
        <v>652736</v>
      </c>
      <c r="N815" s="725"/>
      <c r="O815" s="725"/>
    </row>
    <row r="816" spans="1:15">
      <c r="C816" s="720">
        <f>IF(D809="","-",+C815+1)</f>
        <v>2016</v>
      </c>
      <c r="D816" s="673">
        <f t="shared" ref="D816:D874" si="49">F815</f>
        <v>3400668.8636363638</v>
      </c>
      <c r="E816" s="726">
        <f>IF(D816&gt;$I$812,$I$812,D816)</f>
        <v>78628.181818181823</v>
      </c>
      <c r="F816" s="673">
        <f t="shared" si="48"/>
        <v>3322040.6818181821</v>
      </c>
      <c r="G816" s="1263">
        <f t="shared" ref="G816:G874" si="50">+$I$810*((D816+F816)/2)+E816</f>
        <v>594302.14998011221</v>
      </c>
      <c r="H816" s="1266">
        <f t="shared" ref="H816:H874" si="51">$I$811*((D816+F816)/2)+E816</f>
        <v>594302.14998011221</v>
      </c>
      <c r="I816" s="724">
        <f t="shared" ref="I816:I874" si="52">+H816-G816</f>
        <v>0</v>
      </c>
      <c r="J816" s="724"/>
      <c r="K816" s="869">
        <v>666514</v>
      </c>
      <c r="L816" s="729"/>
      <c r="M816" s="869">
        <v>666514</v>
      </c>
      <c r="N816" s="729"/>
      <c r="O816" s="729"/>
    </row>
    <row r="817" spans="3:15">
      <c r="C817" s="720">
        <f>IF(D809="","-",+C816+1)</f>
        <v>2017</v>
      </c>
      <c r="D817" s="673">
        <f t="shared" si="49"/>
        <v>3322040.6818181821</v>
      </c>
      <c r="E817" s="726">
        <f t="shared" ref="E817:E874" si="53">IF(D817&gt;$I$812,$I$812,D817)</f>
        <v>78628.181818181823</v>
      </c>
      <c r="F817" s="673">
        <f t="shared" si="48"/>
        <v>3243412.5000000005</v>
      </c>
      <c r="G817" s="1263">
        <f t="shared" si="50"/>
        <v>582239.60101725999</v>
      </c>
      <c r="H817" s="1266">
        <f t="shared" si="51"/>
        <v>582239.60101725999</v>
      </c>
      <c r="I817" s="724">
        <f t="shared" si="52"/>
        <v>0</v>
      </c>
      <c r="J817" s="724"/>
      <c r="K817" s="869">
        <v>674329</v>
      </c>
      <c r="L817" s="729"/>
      <c r="M817" s="869">
        <v>674329</v>
      </c>
      <c r="N817" s="729"/>
      <c r="O817" s="729"/>
    </row>
    <row r="818" spans="3:15">
      <c r="C818" s="1268">
        <f>IF(D809="","-",+C817+1)</f>
        <v>2018</v>
      </c>
      <c r="D818" s="1269">
        <f t="shared" si="49"/>
        <v>3243412.5000000005</v>
      </c>
      <c r="E818" s="1270">
        <f t="shared" si="53"/>
        <v>78628.181818181823</v>
      </c>
      <c r="F818" s="1269">
        <f t="shared" si="48"/>
        <v>3164784.3181818188</v>
      </c>
      <c r="G818" s="1271">
        <f t="shared" si="50"/>
        <v>570177.05205440777</v>
      </c>
      <c r="H818" s="1272">
        <f t="shared" si="51"/>
        <v>570177.05205440777</v>
      </c>
      <c r="I818" s="1273">
        <f t="shared" si="52"/>
        <v>0</v>
      </c>
      <c r="J818" s="724"/>
      <c r="K818" s="869"/>
      <c r="L818" s="729"/>
      <c r="M818" s="869"/>
      <c r="N818" s="729"/>
      <c r="O818" s="729"/>
    </row>
    <row r="819" spans="3:15">
      <c r="C819" s="720">
        <f>IF(D809="","-",+C818+1)</f>
        <v>2019</v>
      </c>
      <c r="D819" s="673">
        <f t="shared" si="49"/>
        <v>3164784.3181818188</v>
      </c>
      <c r="E819" s="726">
        <f t="shared" si="53"/>
        <v>78628.181818181823</v>
      </c>
      <c r="F819" s="673">
        <f t="shared" si="48"/>
        <v>3086156.1363636372</v>
      </c>
      <c r="G819" s="1263">
        <f t="shared" si="50"/>
        <v>558114.50309155579</v>
      </c>
      <c r="H819" s="1266">
        <f t="shared" si="51"/>
        <v>558114.50309155579</v>
      </c>
      <c r="I819" s="724">
        <f t="shared" si="52"/>
        <v>0</v>
      </c>
      <c r="J819" s="724"/>
      <c r="K819" s="869"/>
      <c r="L819" s="729"/>
      <c r="M819" s="869"/>
      <c r="N819" s="729"/>
      <c r="O819" s="729"/>
    </row>
    <row r="820" spans="3:15">
      <c r="C820" s="720">
        <f>IF(D809="","-",+C819+1)</f>
        <v>2020</v>
      </c>
      <c r="D820" s="673">
        <f t="shared" si="49"/>
        <v>3086156.1363636372</v>
      </c>
      <c r="E820" s="726">
        <f t="shared" si="53"/>
        <v>78628.181818181823</v>
      </c>
      <c r="F820" s="673">
        <f t="shared" si="48"/>
        <v>3007527.9545454555</v>
      </c>
      <c r="G820" s="1263">
        <f t="shared" si="50"/>
        <v>546051.95412870357</v>
      </c>
      <c r="H820" s="1266">
        <f t="shared" si="51"/>
        <v>546051.95412870357</v>
      </c>
      <c r="I820" s="724">
        <f t="shared" si="52"/>
        <v>0</v>
      </c>
      <c r="J820" s="724"/>
      <c r="K820" s="869"/>
      <c r="L820" s="729"/>
      <c r="M820" s="869"/>
      <c r="N820" s="729"/>
      <c r="O820" s="729"/>
    </row>
    <row r="821" spans="3:15">
      <c r="C821" s="720">
        <f>IF(D809="","-",+C820+1)</f>
        <v>2021</v>
      </c>
      <c r="D821" s="673">
        <f t="shared" si="49"/>
        <v>3007527.9545454555</v>
      </c>
      <c r="E821" s="726">
        <f t="shared" si="53"/>
        <v>78628.181818181823</v>
      </c>
      <c r="F821" s="673">
        <f t="shared" si="48"/>
        <v>2928899.7727272739</v>
      </c>
      <c r="G821" s="1263">
        <f t="shared" si="50"/>
        <v>533989.40516585135</v>
      </c>
      <c r="H821" s="1266">
        <f t="shared" si="51"/>
        <v>533989.40516585135</v>
      </c>
      <c r="I821" s="724">
        <f t="shared" si="52"/>
        <v>0</v>
      </c>
      <c r="J821" s="724"/>
      <c r="K821" s="869"/>
      <c r="L821" s="729"/>
      <c r="M821" s="869"/>
      <c r="N821" s="729"/>
      <c r="O821" s="729"/>
    </row>
    <row r="822" spans="3:15">
      <c r="C822" s="720">
        <f>IF(D809="","-",+C821+1)</f>
        <v>2022</v>
      </c>
      <c r="D822" s="673">
        <f t="shared" si="49"/>
        <v>2928899.7727272739</v>
      </c>
      <c r="E822" s="726">
        <f t="shared" si="53"/>
        <v>78628.181818181823</v>
      </c>
      <c r="F822" s="673">
        <f t="shared" si="48"/>
        <v>2850271.5909090922</v>
      </c>
      <c r="G822" s="1263">
        <f t="shared" si="50"/>
        <v>521926.85620299925</v>
      </c>
      <c r="H822" s="1266">
        <f t="shared" si="51"/>
        <v>521926.85620299925</v>
      </c>
      <c r="I822" s="724">
        <f t="shared" si="52"/>
        <v>0</v>
      </c>
      <c r="J822" s="724"/>
      <c r="K822" s="869"/>
      <c r="L822" s="729"/>
      <c r="M822" s="869"/>
      <c r="N822" s="729"/>
      <c r="O822" s="729"/>
    </row>
    <row r="823" spans="3:15">
      <c r="C823" s="720">
        <f>IF(D809="","-",+C822+1)</f>
        <v>2023</v>
      </c>
      <c r="D823" s="673">
        <f t="shared" si="49"/>
        <v>2850271.5909090922</v>
      </c>
      <c r="E823" s="726">
        <f t="shared" si="53"/>
        <v>78628.181818181823</v>
      </c>
      <c r="F823" s="673">
        <f t="shared" si="48"/>
        <v>2771643.4090909106</v>
      </c>
      <c r="G823" s="1263">
        <f t="shared" si="50"/>
        <v>509864.30724014714</v>
      </c>
      <c r="H823" s="1266">
        <f t="shared" si="51"/>
        <v>509864.30724014714</v>
      </c>
      <c r="I823" s="724">
        <f t="shared" si="52"/>
        <v>0</v>
      </c>
      <c r="J823" s="724"/>
      <c r="K823" s="869"/>
      <c r="L823" s="729"/>
      <c r="M823" s="869"/>
      <c r="N823" s="729"/>
      <c r="O823" s="729"/>
    </row>
    <row r="824" spans="3:15">
      <c r="C824" s="720">
        <f>IF(D809="","-",+C823+1)</f>
        <v>2024</v>
      </c>
      <c r="D824" s="673">
        <f t="shared" si="49"/>
        <v>2771643.4090909106</v>
      </c>
      <c r="E824" s="726">
        <f t="shared" si="53"/>
        <v>78628.181818181823</v>
      </c>
      <c r="F824" s="673">
        <f t="shared" si="48"/>
        <v>2693015.2272727289</v>
      </c>
      <c r="G824" s="1263">
        <f t="shared" si="50"/>
        <v>497801.75827729498</v>
      </c>
      <c r="H824" s="1266">
        <f t="shared" si="51"/>
        <v>497801.75827729498</v>
      </c>
      <c r="I824" s="724">
        <f t="shared" si="52"/>
        <v>0</v>
      </c>
      <c r="J824" s="724"/>
      <c r="K824" s="869"/>
      <c r="L824" s="729"/>
      <c r="M824" s="869"/>
      <c r="N824" s="729"/>
      <c r="O824" s="729"/>
    </row>
    <row r="825" spans="3:15">
      <c r="C825" s="720">
        <f>IF(D809="","-",+C824+1)</f>
        <v>2025</v>
      </c>
      <c r="D825" s="673">
        <f t="shared" si="49"/>
        <v>2693015.2272727289</v>
      </c>
      <c r="E825" s="726">
        <f t="shared" si="53"/>
        <v>78628.181818181823</v>
      </c>
      <c r="F825" s="673">
        <f t="shared" si="48"/>
        <v>2614387.0454545473</v>
      </c>
      <c r="G825" s="1263">
        <f t="shared" si="50"/>
        <v>485739.20931444282</v>
      </c>
      <c r="H825" s="1266">
        <f t="shared" si="51"/>
        <v>485739.20931444282</v>
      </c>
      <c r="I825" s="724">
        <f t="shared" si="52"/>
        <v>0</v>
      </c>
      <c r="J825" s="724"/>
      <c r="K825" s="869"/>
      <c r="L825" s="729"/>
      <c r="M825" s="869"/>
      <c r="N825" s="729"/>
      <c r="O825" s="729"/>
    </row>
    <row r="826" spans="3:15">
      <c r="C826" s="720">
        <f>IF(D809="","-",+C825+1)</f>
        <v>2026</v>
      </c>
      <c r="D826" s="673">
        <f t="shared" si="49"/>
        <v>2614387.0454545473</v>
      </c>
      <c r="E826" s="726">
        <f t="shared" si="53"/>
        <v>78628.181818181823</v>
      </c>
      <c r="F826" s="673">
        <f t="shared" si="48"/>
        <v>2535758.8636363656</v>
      </c>
      <c r="G826" s="1263">
        <f t="shared" si="50"/>
        <v>473676.66035159072</v>
      </c>
      <c r="H826" s="1266">
        <f t="shared" si="51"/>
        <v>473676.66035159072</v>
      </c>
      <c r="I826" s="724">
        <f t="shared" si="52"/>
        <v>0</v>
      </c>
      <c r="J826" s="724"/>
      <c r="K826" s="869"/>
      <c r="L826" s="729"/>
      <c r="M826" s="869"/>
      <c r="N826" s="729"/>
      <c r="O826" s="729"/>
    </row>
    <row r="827" spans="3:15">
      <c r="C827" s="720">
        <f>IF(D809="","-",+C826+1)</f>
        <v>2027</v>
      </c>
      <c r="D827" s="673">
        <f t="shared" si="49"/>
        <v>2535758.8636363656</v>
      </c>
      <c r="E827" s="726">
        <f t="shared" si="53"/>
        <v>78628.181818181823</v>
      </c>
      <c r="F827" s="673">
        <f t="shared" si="48"/>
        <v>2457130.681818184</v>
      </c>
      <c r="G827" s="1263">
        <f t="shared" si="50"/>
        <v>461614.11138873856</v>
      </c>
      <c r="H827" s="1266">
        <f t="shared" si="51"/>
        <v>461614.11138873856</v>
      </c>
      <c r="I827" s="724">
        <f t="shared" si="52"/>
        <v>0</v>
      </c>
      <c r="J827" s="724"/>
      <c r="K827" s="869"/>
      <c r="L827" s="729"/>
      <c r="M827" s="869"/>
      <c r="N827" s="729"/>
      <c r="O827" s="729"/>
    </row>
    <row r="828" spans="3:15">
      <c r="C828" s="720">
        <f>IF(D809="","-",+C827+1)</f>
        <v>2028</v>
      </c>
      <c r="D828" s="673">
        <f t="shared" si="49"/>
        <v>2457130.681818184</v>
      </c>
      <c r="E828" s="726">
        <f t="shared" si="53"/>
        <v>78628.181818181823</v>
      </c>
      <c r="F828" s="673">
        <f t="shared" si="48"/>
        <v>2378502.5000000023</v>
      </c>
      <c r="G828" s="1263">
        <f t="shared" si="50"/>
        <v>449551.5624258864</v>
      </c>
      <c r="H828" s="1266">
        <f t="shared" si="51"/>
        <v>449551.5624258864</v>
      </c>
      <c r="I828" s="724">
        <f t="shared" si="52"/>
        <v>0</v>
      </c>
      <c r="J828" s="724"/>
      <c r="K828" s="869"/>
      <c r="L828" s="729"/>
      <c r="M828" s="869"/>
      <c r="N828" s="729"/>
      <c r="O828" s="729"/>
    </row>
    <row r="829" spans="3:15">
      <c r="C829" s="720">
        <f>IF(D809="","-",+C828+1)</f>
        <v>2029</v>
      </c>
      <c r="D829" s="673">
        <f t="shared" si="49"/>
        <v>2378502.5000000023</v>
      </c>
      <c r="E829" s="726">
        <f t="shared" si="53"/>
        <v>78628.181818181823</v>
      </c>
      <c r="F829" s="673">
        <f t="shared" si="48"/>
        <v>2299874.3181818207</v>
      </c>
      <c r="G829" s="1263">
        <f t="shared" si="50"/>
        <v>437489.01346303424</v>
      </c>
      <c r="H829" s="1266">
        <f t="shared" si="51"/>
        <v>437489.01346303424</v>
      </c>
      <c r="I829" s="724">
        <f t="shared" si="52"/>
        <v>0</v>
      </c>
      <c r="J829" s="724"/>
      <c r="K829" s="869"/>
      <c r="L829" s="729"/>
      <c r="M829" s="869"/>
      <c r="N829" s="729"/>
      <c r="O829" s="729"/>
    </row>
    <row r="830" spans="3:15">
      <c r="C830" s="720">
        <f>IF(D809="","-",+C829+1)</f>
        <v>2030</v>
      </c>
      <c r="D830" s="673">
        <f t="shared" si="49"/>
        <v>2299874.3181818207</v>
      </c>
      <c r="E830" s="726">
        <f t="shared" si="53"/>
        <v>78628.181818181823</v>
      </c>
      <c r="F830" s="673">
        <f t="shared" si="48"/>
        <v>2221246.136363639</v>
      </c>
      <c r="G830" s="1263">
        <f t="shared" si="50"/>
        <v>425426.46450018213</v>
      </c>
      <c r="H830" s="1266">
        <f t="shared" si="51"/>
        <v>425426.46450018213</v>
      </c>
      <c r="I830" s="724">
        <f t="shared" si="52"/>
        <v>0</v>
      </c>
      <c r="J830" s="724"/>
      <c r="K830" s="869"/>
      <c r="L830" s="729"/>
      <c r="M830" s="869"/>
      <c r="N830" s="729"/>
      <c r="O830" s="729"/>
    </row>
    <row r="831" spans="3:15">
      <c r="C831" s="720">
        <f>IF(D809="","-",+C830+1)</f>
        <v>2031</v>
      </c>
      <c r="D831" s="673">
        <f t="shared" si="49"/>
        <v>2221246.136363639</v>
      </c>
      <c r="E831" s="726">
        <f t="shared" si="53"/>
        <v>78628.181818181823</v>
      </c>
      <c r="F831" s="673">
        <f t="shared" si="48"/>
        <v>2142617.9545454574</v>
      </c>
      <c r="G831" s="1263">
        <f t="shared" si="50"/>
        <v>413363.91553732997</v>
      </c>
      <c r="H831" s="1266">
        <f t="shared" si="51"/>
        <v>413363.91553732997</v>
      </c>
      <c r="I831" s="724">
        <f t="shared" si="52"/>
        <v>0</v>
      </c>
      <c r="J831" s="724"/>
      <c r="K831" s="869"/>
      <c r="L831" s="729"/>
      <c r="M831" s="869"/>
      <c r="N831" s="729"/>
      <c r="O831" s="729"/>
    </row>
    <row r="832" spans="3:15">
      <c r="C832" s="720">
        <f>IF(D809="","-",+C831+1)</f>
        <v>2032</v>
      </c>
      <c r="D832" s="673">
        <f t="shared" si="49"/>
        <v>2142617.9545454574</v>
      </c>
      <c r="E832" s="726">
        <f t="shared" si="53"/>
        <v>78628.181818181823</v>
      </c>
      <c r="F832" s="673">
        <f t="shared" si="48"/>
        <v>2063989.7727272755</v>
      </c>
      <c r="G832" s="1263">
        <f t="shared" si="50"/>
        <v>401301.36657447781</v>
      </c>
      <c r="H832" s="1266">
        <f t="shared" si="51"/>
        <v>401301.36657447781</v>
      </c>
      <c r="I832" s="724">
        <f t="shared" si="52"/>
        <v>0</v>
      </c>
      <c r="J832" s="724"/>
      <c r="K832" s="869"/>
      <c r="L832" s="729"/>
      <c r="M832" s="869"/>
      <c r="N832" s="729"/>
      <c r="O832" s="729"/>
    </row>
    <row r="833" spans="3:15">
      <c r="C833" s="720">
        <f>IF(D809="","-",+C832+1)</f>
        <v>2033</v>
      </c>
      <c r="D833" s="673">
        <f t="shared" si="49"/>
        <v>2063989.7727272755</v>
      </c>
      <c r="E833" s="726">
        <f t="shared" si="53"/>
        <v>78628.181818181823</v>
      </c>
      <c r="F833" s="673">
        <f t="shared" si="48"/>
        <v>1985361.5909090936</v>
      </c>
      <c r="G833" s="1263">
        <f t="shared" si="50"/>
        <v>389238.81761162559</v>
      </c>
      <c r="H833" s="1266">
        <f t="shared" si="51"/>
        <v>389238.81761162559</v>
      </c>
      <c r="I833" s="724">
        <f t="shared" si="52"/>
        <v>0</v>
      </c>
      <c r="J833" s="724"/>
      <c r="K833" s="869"/>
      <c r="L833" s="729"/>
      <c r="M833" s="869"/>
      <c r="N833" s="729"/>
      <c r="O833" s="729"/>
    </row>
    <row r="834" spans="3:15">
      <c r="C834" s="720">
        <f>IF(D809="","-",+C833+1)</f>
        <v>2034</v>
      </c>
      <c r="D834" s="673">
        <f t="shared" si="49"/>
        <v>1985361.5909090936</v>
      </c>
      <c r="E834" s="726">
        <f t="shared" si="53"/>
        <v>78628.181818181823</v>
      </c>
      <c r="F834" s="673">
        <f t="shared" si="48"/>
        <v>1906733.4090909117</v>
      </c>
      <c r="G834" s="1263">
        <f t="shared" si="50"/>
        <v>377176.26864877349</v>
      </c>
      <c r="H834" s="1266">
        <f t="shared" si="51"/>
        <v>377176.26864877349</v>
      </c>
      <c r="I834" s="724">
        <f t="shared" si="52"/>
        <v>0</v>
      </c>
      <c r="J834" s="724"/>
      <c r="K834" s="869"/>
      <c r="L834" s="729"/>
      <c r="M834" s="869"/>
      <c r="N834" s="729"/>
      <c r="O834" s="729"/>
    </row>
    <row r="835" spans="3:15">
      <c r="C835" s="720">
        <f>IF(D809="","-",+C834+1)</f>
        <v>2035</v>
      </c>
      <c r="D835" s="673">
        <f t="shared" si="49"/>
        <v>1906733.4090909117</v>
      </c>
      <c r="E835" s="726">
        <f t="shared" si="53"/>
        <v>78628.181818181823</v>
      </c>
      <c r="F835" s="673">
        <f t="shared" si="48"/>
        <v>1828105.2272727299</v>
      </c>
      <c r="G835" s="1263">
        <f t="shared" si="50"/>
        <v>365113.71968592127</v>
      </c>
      <c r="H835" s="1266">
        <f t="shared" si="51"/>
        <v>365113.71968592127</v>
      </c>
      <c r="I835" s="724">
        <f t="shared" si="52"/>
        <v>0</v>
      </c>
      <c r="J835" s="724"/>
      <c r="K835" s="869"/>
      <c r="L835" s="729"/>
      <c r="M835" s="869"/>
      <c r="N835" s="729"/>
      <c r="O835" s="729"/>
    </row>
    <row r="836" spans="3:15">
      <c r="C836" s="720">
        <f>IF(D809="","-",+C835+1)</f>
        <v>2036</v>
      </c>
      <c r="D836" s="673">
        <f t="shared" si="49"/>
        <v>1828105.2272727299</v>
      </c>
      <c r="E836" s="726">
        <f t="shared" si="53"/>
        <v>78628.181818181823</v>
      </c>
      <c r="F836" s="673">
        <f t="shared" si="48"/>
        <v>1749477.045454548</v>
      </c>
      <c r="G836" s="1263">
        <f t="shared" si="50"/>
        <v>353051.17072306911</v>
      </c>
      <c r="H836" s="1266">
        <f t="shared" si="51"/>
        <v>353051.17072306911</v>
      </c>
      <c r="I836" s="724">
        <f t="shared" si="52"/>
        <v>0</v>
      </c>
      <c r="J836" s="724"/>
      <c r="K836" s="869"/>
      <c r="L836" s="729"/>
      <c r="M836" s="869"/>
      <c r="N836" s="729"/>
      <c r="O836" s="729"/>
    </row>
    <row r="837" spans="3:15">
      <c r="C837" s="720">
        <f>IF(D809="","-",+C836+1)</f>
        <v>2037</v>
      </c>
      <c r="D837" s="673">
        <f t="shared" si="49"/>
        <v>1749477.045454548</v>
      </c>
      <c r="E837" s="726">
        <f t="shared" si="53"/>
        <v>78628.181818181823</v>
      </c>
      <c r="F837" s="673">
        <f t="shared" si="48"/>
        <v>1670848.8636363661</v>
      </c>
      <c r="G837" s="1263">
        <f t="shared" si="50"/>
        <v>340988.62176021689</v>
      </c>
      <c r="H837" s="1266">
        <f t="shared" si="51"/>
        <v>340988.62176021689</v>
      </c>
      <c r="I837" s="724">
        <f t="shared" si="52"/>
        <v>0</v>
      </c>
      <c r="J837" s="724"/>
      <c r="K837" s="869"/>
      <c r="L837" s="729"/>
      <c r="M837" s="869"/>
      <c r="N837" s="729"/>
      <c r="O837" s="729"/>
    </row>
    <row r="838" spans="3:15">
      <c r="C838" s="720">
        <f>IF(D809="","-",+C837+1)</f>
        <v>2038</v>
      </c>
      <c r="D838" s="673">
        <f t="shared" si="49"/>
        <v>1670848.8636363661</v>
      </c>
      <c r="E838" s="726">
        <f t="shared" si="53"/>
        <v>78628.181818181823</v>
      </c>
      <c r="F838" s="673">
        <f t="shared" si="48"/>
        <v>1592220.6818181842</v>
      </c>
      <c r="G838" s="1263">
        <f t="shared" si="50"/>
        <v>328926.07279736479</v>
      </c>
      <c r="H838" s="1266">
        <f t="shared" si="51"/>
        <v>328926.07279736479</v>
      </c>
      <c r="I838" s="724">
        <f t="shared" si="52"/>
        <v>0</v>
      </c>
      <c r="J838" s="724"/>
      <c r="K838" s="869"/>
      <c r="L838" s="729"/>
      <c r="M838" s="869"/>
      <c r="N838" s="729"/>
      <c r="O838" s="729"/>
    </row>
    <row r="839" spans="3:15">
      <c r="C839" s="720">
        <f>IF(D809="","-",+C838+1)</f>
        <v>2039</v>
      </c>
      <c r="D839" s="673">
        <f t="shared" si="49"/>
        <v>1592220.6818181842</v>
      </c>
      <c r="E839" s="726">
        <f t="shared" si="53"/>
        <v>78628.181818181823</v>
      </c>
      <c r="F839" s="673">
        <f t="shared" si="48"/>
        <v>1513592.5000000023</v>
      </c>
      <c r="G839" s="1263">
        <f t="shared" si="50"/>
        <v>316863.52383451257</v>
      </c>
      <c r="H839" s="1266">
        <f t="shared" si="51"/>
        <v>316863.52383451257</v>
      </c>
      <c r="I839" s="724">
        <f t="shared" si="52"/>
        <v>0</v>
      </c>
      <c r="J839" s="724"/>
      <c r="K839" s="869"/>
      <c r="L839" s="729"/>
      <c r="M839" s="869"/>
      <c r="N839" s="729"/>
      <c r="O839" s="729"/>
    </row>
    <row r="840" spans="3:15">
      <c r="C840" s="720">
        <f>IF(D809="","-",+C839+1)</f>
        <v>2040</v>
      </c>
      <c r="D840" s="673">
        <f t="shared" si="49"/>
        <v>1513592.5000000023</v>
      </c>
      <c r="E840" s="726">
        <f t="shared" si="53"/>
        <v>78628.181818181823</v>
      </c>
      <c r="F840" s="673">
        <f t="shared" si="48"/>
        <v>1434964.3181818204</v>
      </c>
      <c r="G840" s="1263">
        <f t="shared" si="50"/>
        <v>304800.97487166035</v>
      </c>
      <c r="H840" s="1266">
        <f t="shared" si="51"/>
        <v>304800.97487166035</v>
      </c>
      <c r="I840" s="724">
        <f t="shared" si="52"/>
        <v>0</v>
      </c>
      <c r="J840" s="724"/>
      <c r="K840" s="869"/>
      <c r="L840" s="729"/>
      <c r="M840" s="869"/>
      <c r="N840" s="729"/>
      <c r="O840" s="729"/>
    </row>
    <row r="841" spans="3:15">
      <c r="C841" s="720">
        <f>IF(D809="","-",+C840+1)</f>
        <v>2041</v>
      </c>
      <c r="D841" s="673">
        <f t="shared" si="49"/>
        <v>1434964.3181818204</v>
      </c>
      <c r="E841" s="726">
        <f t="shared" si="53"/>
        <v>78628.181818181823</v>
      </c>
      <c r="F841" s="673">
        <f t="shared" si="48"/>
        <v>1356336.1363636386</v>
      </c>
      <c r="G841" s="1263">
        <f t="shared" si="50"/>
        <v>292738.42590880813</v>
      </c>
      <c r="H841" s="1266">
        <f t="shared" si="51"/>
        <v>292738.42590880813</v>
      </c>
      <c r="I841" s="724">
        <f t="shared" si="52"/>
        <v>0</v>
      </c>
      <c r="J841" s="724"/>
      <c r="K841" s="869"/>
      <c r="L841" s="729"/>
      <c r="M841" s="869"/>
      <c r="N841" s="729"/>
      <c r="O841" s="729"/>
    </row>
    <row r="842" spans="3:15">
      <c r="C842" s="720">
        <f>IF(D809="","-",+C841+1)</f>
        <v>2042</v>
      </c>
      <c r="D842" s="673">
        <f t="shared" si="49"/>
        <v>1356336.1363636386</v>
      </c>
      <c r="E842" s="726">
        <f t="shared" si="53"/>
        <v>78628.181818181823</v>
      </c>
      <c r="F842" s="673">
        <f t="shared" si="48"/>
        <v>1277707.9545454567</v>
      </c>
      <c r="G842" s="1263">
        <f t="shared" si="50"/>
        <v>280675.87694595603</v>
      </c>
      <c r="H842" s="1266">
        <f t="shared" si="51"/>
        <v>280675.87694595603</v>
      </c>
      <c r="I842" s="724">
        <f t="shared" si="52"/>
        <v>0</v>
      </c>
      <c r="J842" s="724"/>
      <c r="K842" s="869"/>
      <c r="L842" s="729"/>
      <c r="M842" s="869"/>
      <c r="N842" s="729"/>
      <c r="O842" s="729"/>
    </row>
    <row r="843" spans="3:15">
      <c r="C843" s="720">
        <f>IF(D809="","-",+C842+1)</f>
        <v>2043</v>
      </c>
      <c r="D843" s="673">
        <f t="shared" si="49"/>
        <v>1277707.9545454567</v>
      </c>
      <c r="E843" s="726">
        <f t="shared" si="53"/>
        <v>78628.181818181823</v>
      </c>
      <c r="F843" s="673">
        <f t="shared" si="48"/>
        <v>1199079.7727272748</v>
      </c>
      <c r="G843" s="1264">
        <f t="shared" si="50"/>
        <v>268613.32798310381</v>
      </c>
      <c r="H843" s="1266">
        <f t="shared" si="51"/>
        <v>268613.32798310381</v>
      </c>
      <c r="I843" s="724">
        <f t="shared" si="52"/>
        <v>0</v>
      </c>
      <c r="J843" s="724"/>
      <c r="K843" s="869"/>
      <c r="L843" s="729"/>
      <c r="M843" s="869"/>
      <c r="N843" s="729"/>
      <c r="O843" s="729"/>
    </row>
    <row r="844" spans="3:15">
      <c r="C844" s="720">
        <f>IF(D809="","-",+C843+1)</f>
        <v>2044</v>
      </c>
      <c r="D844" s="673">
        <f t="shared" si="49"/>
        <v>1199079.7727272748</v>
      </c>
      <c r="E844" s="726">
        <f t="shared" si="53"/>
        <v>78628.181818181823</v>
      </c>
      <c r="F844" s="673">
        <f t="shared" si="48"/>
        <v>1120451.5909090929</v>
      </c>
      <c r="G844" s="1263">
        <f t="shared" si="50"/>
        <v>256550.77902025168</v>
      </c>
      <c r="H844" s="1266">
        <f t="shared" si="51"/>
        <v>256550.77902025168</v>
      </c>
      <c r="I844" s="724">
        <f t="shared" si="52"/>
        <v>0</v>
      </c>
      <c r="J844" s="724"/>
      <c r="K844" s="869"/>
      <c r="L844" s="729"/>
      <c r="M844" s="869"/>
      <c r="N844" s="729"/>
      <c r="O844" s="729"/>
    </row>
    <row r="845" spans="3:15">
      <c r="C845" s="720">
        <f>IF(D809="","-",+C844+1)</f>
        <v>2045</v>
      </c>
      <c r="D845" s="673">
        <f t="shared" si="49"/>
        <v>1120451.5909090929</v>
      </c>
      <c r="E845" s="726">
        <f t="shared" si="53"/>
        <v>78628.181818181823</v>
      </c>
      <c r="F845" s="673">
        <f t="shared" si="48"/>
        <v>1041823.409090911</v>
      </c>
      <c r="G845" s="1263">
        <f t="shared" si="50"/>
        <v>244488.23005739946</v>
      </c>
      <c r="H845" s="1266">
        <f t="shared" si="51"/>
        <v>244488.23005739946</v>
      </c>
      <c r="I845" s="724">
        <f t="shared" si="52"/>
        <v>0</v>
      </c>
      <c r="J845" s="724"/>
      <c r="K845" s="869"/>
      <c r="L845" s="729"/>
      <c r="M845" s="869"/>
      <c r="N845" s="729"/>
      <c r="O845" s="729"/>
    </row>
    <row r="846" spans="3:15">
      <c r="C846" s="720">
        <f>IF(D809="","-",+C845+1)</f>
        <v>2046</v>
      </c>
      <c r="D846" s="673">
        <f t="shared" si="49"/>
        <v>1041823.409090911</v>
      </c>
      <c r="E846" s="726">
        <f t="shared" si="53"/>
        <v>78628.181818181823</v>
      </c>
      <c r="F846" s="673">
        <f t="shared" si="48"/>
        <v>963195.22727272916</v>
      </c>
      <c r="G846" s="1263">
        <f t="shared" si="50"/>
        <v>232425.6810945473</v>
      </c>
      <c r="H846" s="1266">
        <f t="shared" si="51"/>
        <v>232425.6810945473</v>
      </c>
      <c r="I846" s="724">
        <f t="shared" si="52"/>
        <v>0</v>
      </c>
      <c r="J846" s="724"/>
      <c r="K846" s="869"/>
      <c r="L846" s="729"/>
      <c r="M846" s="869"/>
      <c r="N846" s="729"/>
      <c r="O846" s="729"/>
    </row>
    <row r="847" spans="3:15">
      <c r="C847" s="720">
        <f>IF(D809="","-",+C846+1)</f>
        <v>2047</v>
      </c>
      <c r="D847" s="673">
        <f t="shared" si="49"/>
        <v>963195.22727272916</v>
      </c>
      <c r="E847" s="726">
        <f t="shared" si="53"/>
        <v>78628.181818181823</v>
      </c>
      <c r="F847" s="673">
        <f t="shared" si="48"/>
        <v>884567.04545454727</v>
      </c>
      <c r="G847" s="1263">
        <f t="shared" si="50"/>
        <v>220363.13213169511</v>
      </c>
      <c r="H847" s="1266">
        <f t="shared" si="51"/>
        <v>220363.13213169511</v>
      </c>
      <c r="I847" s="724">
        <f t="shared" si="52"/>
        <v>0</v>
      </c>
      <c r="J847" s="724"/>
      <c r="K847" s="869"/>
      <c r="L847" s="729"/>
      <c r="M847" s="869"/>
      <c r="N847" s="729"/>
      <c r="O847" s="729"/>
    </row>
    <row r="848" spans="3:15">
      <c r="C848" s="720">
        <f>IF(D809="","-",+C847+1)</f>
        <v>2048</v>
      </c>
      <c r="D848" s="673">
        <f t="shared" si="49"/>
        <v>884567.04545454727</v>
      </c>
      <c r="E848" s="726">
        <f t="shared" si="53"/>
        <v>78628.181818181823</v>
      </c>
      <c r="F848" s="673">
        <f t="shared" si="48"/>
        <v>805938.86363636539</v>
      </c>
      <c r="G848" s="1263">
        <f t="shared" si="50"/>
        <v>208300.58316884295</v>
      </c>
      <c r="H848" s="1266">
        <f t="shared" si="51"/>
        <v>208300.58316884295</v>
      </c>
      <c r="I848" s="724">
        <f t="shared" si="52"/>
        <v>0</v>
      </c>
      <c r="J848" s="724"/>
      <c r="K848" s="869"/>
      <c r="L848" s="729"/>
      <c r="M848" s="869"/>
      <c r="N848" s="729"/>
      <c r="O848" s="729"/>
    </row>
    <row r="849" spans="3:15">
      <c r="C849" s="720">
        <f>IF(D809="","-",+C848+1)</f>
        <v>2049</v>
      </c>
      <c r="D849" s="673">
        <f t="shared" si="49"/>
        <v>805938.86363636539</v>
      </c>
      <c r="E849" s="726">
        <f t="shared" si="53"/>
        <v>78628.181818181823</v>
      </c>
      <c r="F849" s="673">
        <f t="shared" si="48"/>
        <v>727310.68181818351</v>
      </c>
      <c r="G849" s="1263">
        <f t="shared" si="50"/>
        <v>196238.03420599076</v>
      </c>
      <c r="H849" s="1266">
        <f t="shared" si="51"/>
        <v>196238.03420599076</v>
      </c>
      <c r="I849" s="724">
        <f t="shared" si="52"/>
        <v>0</v>
      </c>
      <c r="J849" s="724"/>
      <c r="K849" s="869"/>
      <c r="L849" s="729"/>
      <c r="M849" s="869"/>
      <c r="N849" s="729"/>
      <c r="O849" s="729"/>
    </row>
    <row r="850" spans="3:15">
      <c r="C850" s="720">
        <f>IF(D809="","-",+C849+1)</f>
        <v>2050</v>
      </c>
      <c r="D850" s="673">
        <f t="shared" si="49"/>
        <v>727310.68181818351</v>
      </c>
      <c r="E850" s="726">
        <f t="shared" si="53"/>
        <v>78628.181818181823</v>
      </c>
      <c r="F850" s="673">
        <f t="shared" si="48"/>
        <v>648682.50000000163</v>
      </c>
      <c r="G850" s="1263">
        <f t="shared" si="50"/>
        <v>184175.48524313857</v>
      </c>
      <c r="H850" s="1266">
        <f t="shared" si="51"/>
        <v>184175.48524313857</v>
      </c>
      <c r="I850" s="724">
        <f t="shared" si="52"/>
        <v>0</v>
      </c>
      <c r="J850" s="724"/>
      <c r="K850" s="869"/>
      <c r="L850" s="729"/>
      <c r="M850" s="869"/>
      <c r="N850" s="729"/>
      <c r="O850" s="729"/>
    </row>
    <row r="851" spans="3:15">
      <c r="C851" s="720">
        <f>IF(D809="","-",+C850+1)</f>
        <v>2051</v>
      </c>
      <c r="D851" s="673">
        <f t="shared" si="49"/>
        <v>648682.50000000163</v>
      </c>
      <c r="E851" s="726">
        <f t="shared" si="53"/>
        <v>78628.181818181823</v>
      </c>
      <c r="F851" s="673">
        <f t="shared" si="48"/>
        <v>570054.31818181975</v>
      </c>
      <c r="G851" s="1263">
        <f t="shared" si="50"/>
        <v>172112.93628028641</v>
      </c>
      <c r="H851" s="1266">
        <f t="shared" si="51"/>
        <v>172112.93628028641</v>
      </c>
      <c r="I851" s="724">
        <f t="shared" si="52"/>
        <v>0</v>
      </c>
      <c r="J851" s="724"/>
      <c r="K851" s="869"/>
      <c r="L851" s="729"/>
      <c r="M851" s="869"/>
      <c r="N851" s="729"/>
      <c r="O851" s="729"/>
    </row>
    <row r="852" spans="3:15">
      <c r="C852" s="720">
        <f>IF(D809="","-",+C851+1)</f>
        <v>2052</v>
      </c>
      <c r="D852" s="673">
        <f t="shared" si="49"/>
        <v>570054.31818181975</v>
      </c>
      <c r="E852" s="726">
        <f t="shared" si="53"/>
        <v>78628.181818181823</v>
      </c>
      <c r="F852" s="673">
        <f t="shared" si="48"/>
        <v>491426.13636363792</v>
      </c>
      <c r="G852" s="1263">
        <f t="shared" si="50"/>
        <v>160050.38731743422</v>
      </c>
      <c r="H852" s="1266">
        <f t="shared" si="51"/>
        <v>160050.38731743422</v>
      </c>
      <c r="I852" s="724">
        <f t="shared" si="52"/>
        <v>0</v>
      </c>
      <c r="J852" s="724"/>
      <c r="K852" s="869"/>
      <c r="L852" s="729"/>
      <c r="M852" s="869"/>
      <c r="N852" s="729"/>
      <c r="O852" s="729"/>
    </row>
    <row r="853" spans="3:15">
      <c r="C853" s="720">
        <f>IF(D809="","-",+C852+1)</f>
        <v>2053</v>
      </c>
      <c r="D853" s="673">
        <f t="shared" si="49"/>
        <v>491426.13636363792</v>
      </c>
      <c r="E853" s="726">
        <f t="shared" si="53"/>
        <v>78628.181818181823</v>
      </c>
      <c r="F853" s="673">
        <f t="shared" si="48"/>
        <v>412797.9545454561</v>
      </c>
      <c r="G853" s="1263">
        <f t="shared" si="50"/>
        <v>147987.83835458203</v>
      </c>
      <c r="H853" s="1266">
        <f t="shared" si="51"/>
        <v>147987.83835458203</v>
      </c>
      <c r="I853" s="724">
        <f t="shared" si="52"/>
        <v>0</v>
      </c>
      <c r="J853" s="724"/>
      <c r="K853" s="869"/>
      <c r="L853" s="729"/>
      <c r="M853" s="869"/>
      <c r="N853" s="729"/>
      <c r="O853" s="729"/>
    </row>
    <row r="854" spans="3:15">
      <c r="C854" s="720">
        <f>IF(D809="","-",+C853+1)</f>
        <v>2054</v>
      </c>
      <c r="D854" s="673">
        <f t="shared" si="49"/>
        <v>412797.9545454561</v>
      </c>
      <c r="E854" s="726">
        <f t="shared" si="53"/>
        <v>78628.181818181823</v>
      </c>
      <c r="F854" s="673">
        <f t="shared" si="48"/>
        <v>334169.77272727428</v>
      </c>
      <c r="G854" s="1263">
        <f t="shared" si="50"/>
        <v>135925.28939172986</v>
      </c>
      <c r="H854" s="1266">
        <f t="shared" si="51"/>
        <v>135925.28939172986</v>
      </c>
      <c r="I854" s="724">
        <f t="shared" si="52"/>
        <v>0</v>
      </c>
      <c r="J854" s="724"/>
      <c r="K854" s="869"/>
      <c r="L854" s="729"/>
      <c r="M854" s="869"/>
      <c r="N854" s="729"/>
      <c r="O854" s="729"/>
    </row>
    <row r="855" spans="3:15">
      <c r="C855" s="720">
        <f>IF(D809="","-",+C854+1)</f>
        <v>2055</v>
      </c>
      <c r="D855" s="673">
        <f t="shared" si="49"/>
        <v>334169.77272727428</v>
      </c>
      <c r="E855" s="726">
        <f t="shared" si="53"/>
        <v>78628.181818181823</v>
      </c>
      <c r="F855" s="673">
        <f t="shared" si="48"/>
        <v>255541.59090909245</v>
      </c>
      <c r="G855" s="1263">
        <f t="shared" si="50"/>
        <v>123862.7404288777</v>
      </c>
      <c r="H855" s="1266">
        <f t="shared" si="51"/>
        <v>123862.7404288777</v>
      </c>
      <c r="I855" s="724">
        <f t="shared" si="52"/>
        <v>0</v>
      </c>
      <c r="J855" s="724"/>
      <c r="K855" s="869"/>
      <c r="L855" s="729"/>
      <c r="M855" s="869"/>
      <c r="N855" s="729"/>
      <c r="O855" s="729"/>
    </row>
    <row r="856" spans="3:15">
      <c r="C856" s="720">
        <f>IF(D809="","-",+C855+1)</f>
        <v>2056</v>
      </c>
      <c r="D856" s="673">
        <f t="shared" si="49"/>
        <v>255541.59090909245</v>
      </c>
      <c r="E856" s="726">
        <f t="shared" si="53"/>
        <v>78628.181818181823</v>
      </c>
      <c r="F856" s="673">
        <f t="shared" si="48"/>
        <v>176913.40909091063</v>
      </c>
      <c r="G856" s="1263">
        <f t="shared" si="50"/>
        <v>111800.19146602553</v>
      </c>
      <c r="H856" s="1266">
        <f t="shared" si="51"/>
        <v>111800.19146602553</v>
      </c>
      <c r="I856" s="724">
        <f t="shared" si="52"/>
        <v>0</v>
      </c>
      <c r="J856" s="724"/>
      <c r="K856" s="869"/>
      <c r="L856" s="729"/>
      <c r="M856" s="869"/>
      <c r="N856" s="729"/>
      <c r="O856" s="729"/>
    </row>
    <row r="857" spans="3:15">
      <c r="C857" s="720">
        <f>IF(D809="","-",+C856+1)</f>
        <v>2057</v>
      </c>
      <c r="D857" s="673">
        <f t="shared" si="49"/>
        <v>176913.40909091063</v>
      </c>
      <c r="E857" s="726">
        <f t="shared" si="53"/>
        <v>78628.181818181823</v>
      </c>
      <c r="F857" s="673">
        <f t="shared" si="48"/>
        <v>98285.227272728807</v>
      </c>
      <c r="G857" s="1263">
        <f t="shared" si="50"/>
        <v>99737.642503173352</v>
      </c>
      <c r="H857" s="1266">
        <f t="shared" si="51"/>
        <v>99737.642503173352</v>
      </c>
      <c r="I857" s="724">
        <f t="shared" si="52"/>
        <v>0</v>
      </c>
      <c r="J857" s="724"/>
      <c r="K857" s="869"/>
      <c r="L857" s="729"/>
      <c r="M857" s="869"/>
      <c r="N857" s="729"/>
      <c r="O857" s="729"/>
    </row>
    <row r="858" spans="3:15">
      <c r="C858" s="720">
        <f>IF(D809="","-",+C857+1)</f>
        <v>2058</v>
      </c>
      <c r="D858" s="673">
        <f t="shared" si="49"/>
        <v>98285.227272728807</v>
      </c>
      <c r="E858" s="726">
        <f t="shared" si="53"/>
        <v>78628.181818181823</v>
      </c>
      <c r="F858" s="673">
        <f t="shared" si="48"/>
        <v>19657.045454546984</v>
      </c>
      <c r="G858" s="1263">
        <f t="shared" si="50"/>
        <v>87675.093540321192</v>
      </c>
      <c r="H858" s="1266">
        <f t="shared" si="51"/>
        <v>87675.093540321192</v>
      </c>
      <c r="I858" s="724">
        <f t="shared" si="52"/>
        <v>0</v>
      </c>
      <c r="J858" s="724"/>
      <c r="K858" s="869"/>
      <c r="L858" s="729"/>
      <c r="M858" s="869"/>
      <c r="N858" s="729"/>
      <c r="O858" s="729"/>
    </row>
    <row r="859" spans="3:15">
      <c r="C859" s="720">
        <f>IF(D809="","-",+C858+1)</f>
        <v>2059</v>
      </c>
      <c r="D859" s="673">
        <f t="shared" si="49"/>
        <v>19657.045454546984</v>
      </c>
      <c r="E859" s="726">
        <f t="shared" si="53"/>
        <v>19657.045454546984</v>
      </c>
      <c r="F859" s="673">
        <f t="shared" si="48"/>
        <v>0</v>
      </c>
      <c r="G859" s="1263">
        <f t="shared" si="50"/>
        <v>21164.864074903624</v>
      </c>
      <c r="H859" s="1266">
        <f t="shared" si="51"/>
        <v>21164.864074903624</v>
      </c>
      <c r="I859" s="724">
        <f t="shared" si="52"/>
        <v>0</v>
      </c>
      <c r="J859" s="724"/>
      <c r="K859" s="869"/>
      <c r="L859" s="729"/>
      <c r="M859" s="869"/>
      <c r="N859" s="729"/>
      <c r="O859" s="729"/>
    </row>
    <row r="860" spans="3:15">
      <c r="C860" s="720">
        <f>IF(D809="","-",+C859+1)</f>
        <v>2060</v>
      </c>
      <c r="D860" s="673">
        <f t="shared" si="49"/>
        <v>0</v>
      </c>
      <c r="E860" s="726">
        <f t="shared" si="53"/>
        <v>0</v>
      </c>
      <c r="F860" s="673">
        <f t="shared" si="48"/>
        <v>0</v>
      </c>
      <c r="G860" s="1263">
        <f t="shared" si="50"/>
        <v>0</v>
      </c>
      <c r="H860" s="1266">
        <f t="shared" si="51"/>
        <v>0</v>
      </c>
      <c r="I860" s="724">
        <f t="shared" si="52"/>
        <v>0</v>
      </c>
      <c r="J860" s="724"/>
      <c r="K860" s="869"/>
      <c r="L860" s="729"/>
      <c r="M860" s="869"/>
      <c r="N860" s="729"/>
      <c r="O860" s="729"/>
    </row>
    <row r="861" spans="3:15">
      <c r="C861" s="720">
        <f>IF(D809="","-",+C860+1)</f>
        <v>2061</v>
      </c>
      <c r="D861" s="673">
        <f t="shared" si="49"/>
        <v>0</v>
      </c>
      <c r="E861" s="726">
        <f t="shared" si="53"/>
        <v>0</v>
      </c>
      <c r="F861" s="673">
        <f t="shared" si="48"/>
        <v>0</v>
      </c>
      <c r="G861" s="1263">
        <f t="shared" si="50"/>
        <v>0</v>
      </c>
      <c r="H861" s="1266">
        <f t="shared" si="51"/>
        <v>0</v>
      </c>
      <c r="I861" s="724">
        <f t="shared" si="52"/>
        <v>0</v>
      </c>
      <c r="J861" s="724"/>
      <c r="K861" s="869"/>
      <c r="L861" s="729"/>
      <c r="M861" s="869"/>
      <c r="N861" s="729"/>
      <c r="O861" s="729"/>
    </row>
    <row r="862" spans="3:15">
      <c r="C862" s="720">
        <f>IF(D809="","-",+C861+1)</f>
        <v>2062</v>
      </c>
      <c r="D862" s="673">
        <f t="shared" si="49"/>
        <v>0</v>
      </c>
      <c r="E862" s="726">
        <f t="shared" si="53"/>
        <v>0</v>
      </c>
      <c r="F862" s="673">
        <f t="shared" si="48"/>
        <v>0</v>
      </c>
      <c r="G862" s="1263">
        <f t="shared" si="50"/>
        <v>0</v>
      </c>
      <c r="H862" s="1266">
        <f t="shared" si="51"/>
        <v>0</v>
      </c>
      <c r="I862" s="724">
        <f t="shared" si="52"/>
        <v>0</v>
      </c>
      <c r="J862" s="724"/>
      <c r="K862" s="869"/>
      <c r="L862" s="729"/>
      <c r="M862" s="869"/>
      <c r="N862" s="729"/>
      <c r="O862" s="729"/>
    </row>
    <row r="863" spans="3:15">
      <c r="C863" s="720">
        <f>IF(D809="","-",+C862+1)</f>
        <v>2063</v>
      </c>
      <c r="D863" s="673">
        <f t="shared" si="49"/>
        <v>0</v>
      </c>
      <c r="E863" s="726">
        <f t="shared" si="53"/>
        <v>0</v>
      </c>
      <c r="F863" s="673">
        <f t="shared" si="48"/>
        <v>0</v>
      </c>
      <c r="G863" s="1263">
        <f t="shared" si="50"/>
        <v>0</v>
      </c>
      <c r="H863" s="1266">
        <f t="shared" si="51"/>
        <v>0</v>
      </c>
      <c r="I863" s="724">
        <f t="shared" si="52"/>
        <v>0</v>
      </c>
      <c r="J863" s="724"/>
      <c r="K863" s="869"/>
      <c r="L863" s="729"/>
      <c r="M863" s="869"/>
      <c r="N863" s="729"/>
      <c r="O863" s="729"/>
    </row>
    <row r="864" spans="3:15">
      <c r="C864" s="720">
        <f>IF(D809="","-",+C863+1)</f>
        <v>2064</v>
      </c>
      <c r="D864" s="673">
        <f t="shared" si="49"/>
        <v>0</v>
      </c>
      <c r="E864" s="726">
        <f t="shared" si="53"/>
        <v>0</v>
      </c>
      <c r="F864" s="673">
        <f t="shared" si="48"/>
        <v>0</v>
      </c>
      <c r="G864" s="1263">
        <f t="shared" si="50"/>
        <v>0</v>
      </c>
      <c r="H864" s="1266">
        <f t="shared" si="51"/>
        <v>0</v>
      </c>
      <c r="I864" s="724">
        <f t="shared" si="52"/>
        <v>0</v>
      </c>
      <c r="J864" s="724"/>
      <c r="K864" s="869"/>
      <c r="L864" s="729"/>
      <c r="M864" s="869"/>
      <c r="N864" s="729"/>
      <c r="O864" s="729"/>
    </row>
    <row r="865" spans="3:15">
      <c r="C865" s="720">
        <f>IF(D809="","-",+C864+1)</f>
        <v>2065</v>
      </c>
      <c r="D865" s="673">
        <f t="shared" si="49"/>
        <v>0</v>
      </c>
      <c r="E865" s="726">
        <f t="shared" si="53"/>
        <v>0</v>
      </c>
      <c r="F865" s="673">
        <f t="shared" si="48"/>
        <v>0</v>
      </c>
      <c r="G865" s="1263">
        <f t="shared" si="50"/>
        <v>0</v>
      </c>
      <c r="H865" s="1266">
        <f t="shared" si="51"/>
        <v>0</v>
      </c>
      <c r="I865" s="724">
        <f t="shared" si="52"/>
        <v>0</v>
      </c>
      <c r="J865" s="724"/>
      <c r="K865" s="869"/>
      <c r="L865" s="729"/>
      <c r="M865" s="869"/>
      <c r="N865" s="729"/>
      <c r="O865" s="729"/>
    </row>
    <row r="866" spans="3:15">
      <c r="C866" s="720">
        <f>IF(D809="","-",+C865+1)</f>
        <v>2066</v>
      </c>
      <c r="D866" s="673">
        <f t="shared" si="49"/>
        <v>0</v>
      </c>
      <c r="E866" s="726">
        <f t="shared" si="53"/>
        <v>0</v>
      </c>
      <c r="F866" s="673">
        <f t="shared" si="48"/>
        <v>0</v>
      </c>
      <c r="G866" s="1263">
        <f t="shared" si="50"/>
        <v>0</v>
      </c>
      <c r="H866" s="1266">
        <f t="shared" si="51"/>
        <v>0</v>
      </c>
      <c r="I866" s="724">
        <f t="shared" si="52"/>
        <v>0</v>
      </c>
      <c r="J866" s="724"/>
      <c r="K866" s="869"/>
      <c r="L866" s="729"/>
      <c r="M866" s="869"/>
      <c r="N866" s="729"/>
      <c r="O866" s="729"/>
    </row>
    <row r="867" spans="3:15">
      <c r="C867" s="720">
        <f>IF(D809="","-",+C866+1)</f>
        <v>2067</v>
      </c>
      <c r="D867" s="673">
        <f t="shared" si="49"/>
        <v>0</v>
      </c>
      <c r="E867" s="726">
        <f t="shared" si="53"/>
        <v>0</v>
      </c>
      <c r="F867" s="673">
        <f t="shared" si="48"/>
        <v>0</v>
      </c>
      <c r="G867" s="1263">
        <f t="shared" si="50"/>
        <v>0</v>
      </c>
      <c r="H867" s="1266">
        <f t="shared" si="51"/>
        <v>0</v>
      </c>
      <c r="I867" s="724">
        <f t="shared" si="52"/>
        <v>0</v>
      </c>
      <c r="J867" s="724"/>
      <c r="K867" s="869"/>
      <c r="L867" s="729"/>
      <c r="M867" s="869"/>
      <c r="N867" s="729"/>
      <c r="O867" s="729"/>
    </row>
    <row r="868" spans="3:15">
      <c r="C868" s="720">
        <f>IF(D809="","-",+C867+1)</f>
        <v>2068</v>
      </c>
      <c r="D868" s="673">
        <f t="shared" si="49"/>
        <v>0</v>
      </c>
      <c r="E868" s="726">
        <f t="shared" si="53"/>
        <v>0</v>
      </c>
      <c r="F868" s="673">
        <f t="shared" si="48"/>
        <v>0</v>
      </c>
      <c r="G868" s="1263">
        <f t="shared" si="50"/>
        <v>0</v>
      </c>
      <c r="H868" s="1266">
        <f t="shared" si="51"/>
        <v>0</v>
      </c>
      <c r="I868" s="724">
        <f t="shared" si="52"/>
        <v>0</v>
      </c>
      <c r="J868" s="724"/>
      <c r="K868" s="869"/>
      <c r="L868" s="729"/>
      <c r="M868" s="869"/>
      <c r="N868" s="729"/>
      <c r="O868" s="729"/>
    </row>
    <row r="869" spans="3:15">
      <c r="C869" s="720">
        <f>IF(D809="","-",+C868+1)</f>
        <v>2069</v>
      </c>
      <c r="D869" s="673">
        <f t="shared" si="49"/>
        <v>0</v>
      </c>
      <c r="E869" s="726">
        <f t="shared" si="53"/>
        <v>0</v>
      </c>
      <c r="F869" s="673">
        <f t="shared" si="48"/>
        <v>0</v>
      </c>
      <c r="G869" s="1263">
        <f t="shared" si="50"/>
        <v>0</v>
      </c>
      <c r="H869" s="1266">
        <f t="shared" si="51"/>
        <v>0</v>
      </c>
      <c r="I869" s="724">
        <f t="shared" si="52"/>
        <v>0</v>
      </c>
      <c r="J869" s="724"/>
      <c r="K869" s="869"/>
      <c r="L869" s="729"/>
      <c r="M869" s="869"/>
      <c r="N869" s="729"/>
      <c r="O869" s="729"/>
    </row>
    <row r="870" spans="3:15">
      <c r="C870" s="720">
        <f>IF(D809="","-",+C869+1)</f>
        <v>2070</v>
      </c>
      <c r="D870" s="673">
        <f t="shared" si="49"/>
        <v>0</v>
      </c>
      <c r="E870" s="726">
        <f t="shared" si="53"/>
        <v>0</v>
      </c>
      <c r="F870" s="673">
        <f t="shared" si="48"/>
        <v>0</v>
      </c>
      <c r="G870" s="1263">
        <f t="shared" si="50"/>
        <v>0</v>
      </c>
      <c r="H870" s="1266">
        <f t="shared" si="51"/>
        <v>0</v>
      </c>
      <c r="I870" s="724">
        <f t="shared" si="52"/>
        <v>0</v>
      </c>
      <c r="J870" s="724"/>
      <c r="K870" s="869"/>
      <c r="L870" s="729"/>
      <c r="M870" s="869"/>
      <c r="N870" s="729"/>
      <c r="O870" s="729"/>
    </row>
    <row r="871" spans="3:15">
      <c r="C871" s="720">
        <f>IF(D809="","-",+C870+1)</f>
        <v>2071</v>
      </c>
      <c r="D871" s="673">
        <f t="shared" si="49"/>
        <v>0</v>
      </c>
      <c r="E871" s="726">
        <f t="shared" si="53"/>
        <v>0</v>
      </c>
      <c r="F871" s="673">
        <f t="shared" si="48"/>
        <v>0</v>
      </c>
      <c r="G871" s="1263">
        <f t="shared" si="50"/>
        <v>0</v>
      </c>
      <c r="H871" s="1266">
        <f t="shared" si="51"/>
        <v>0</v>
      </c>
      <c r="I871" s="724">
        <f t="shared" si="52"/>
        <v>0</v>
      </c>
      <c r="J871" s="724"/>
      <c r="K871" s="869"/>
      <c r="L871" s="729"/>
      <c r="M871" s="869"/>
      <c r="N871" s="729"/>
      <c r="O871" s="729"/>
    </row>
    <row r="872" spans="3:15">
      <c r="C872" s="720">
        <f>IF(D809="","-",+C871+1)</f>
        <v>2072</v>
      </c>
      <c r="D872" s="673">
        <f t="shared" si="49"/>
        <v>0</v>
      </c>
      <c r="E872" s="726">
        <f t="shared" si="53"/>
        <v>0</v>
      </c>
      <c r="F872" s="673">
        <f t="shared" si="48"/>
        <v>0</v>
      </c>
      <c r="G872" s="1263">
        <f t="shared" si="50"/>
        <v>0</v>
      </c>
      <c r="H872" s="1266">
        <f t="shared" si="51"/>
        <v>0</v>
      </c>
      <c r="I872" s="724">
        <f t="shared" si="52"/>
        <v>0</v>
      </c>
      <c r="J872" s="724"/>
      <c r="K872" s="869"/>
      <c r="L872" s="729"/>
      <c r="M872" s="869"/>
      <c r="N872" s="729"/>
      <c r="O872" s="729"/>
    </row>
    <row r="873" spans="3:15">
      <c r="C873" s="720">
        <f>IF(D809="","-",+C872+1)</f>
        <v>2073</v>
      </c>
      <c r="D873" s="673">
        <f t="shared" si="49"/>
        <v>0</v>
      </c>
      <c r="E873" s="726">
        <f t="shared" si="53"/>
        <v>0</v>
      </c>
      <c r="F873" s="673">
        <f t="shared" si="48"/>
        <v>0</v>
      </c>
      <c r="G873" s="1263">
        <f t="shared" si="50"/>
        <v>0</v>
      </c>
      <c r="H873" s="1266">
        <f t="shared" si="51"/>
        <v>0</v>
      </c>
      <c r="I873" s="724">
        <f t="shared" si="52"/>
        <v>0</v>
      </c>
      <c r="J873" s="724"/>
      <c r="K873" s="869"/>
      <c r="L873" s="729"/>
      <c r="M873" s="869"/>
      <c r="N873" s="729"/>
      <c r="O873" s="729"/>
    </row>
    <row r="874" spans="3:15" ht="13.5" thickBot="1">
      <c r="C874" s="730">
        <f>IF(D809="","-",+C873+1)</f>
        <v>2074</v>
      </c>
      <c r="D874" s="731">
        <f t="shared" si="49"/>
        <v>0</v>
      </c>
      <c r="E874" s="732">
        <f t="shared" si="53"/>
        <v>0</v>
      </c>
      <c r="F874" s="731">
        <f t="shared" si="48"/>
        <v>0</v>
      </c>
      <c r="G874" s="1274">
        <f t="shared" si="50"/>
        <v>0</v>
      </c>
      <c r="H874" s="1274">
        <f t="shared" si="51"/>
        <v>0</v>
      </c>
      <c r="I874" s="734">
        <f t="shared" si="52"/>
        <v>0</v>
      </c>
      <c r="J874" s="724"/>
      <c r="K874" s="870"/>
      <c r="L874" s="736"/>
      <c r="M874" s="870"/>
      <c r="N874" s="736"/>
      <c r="O874" s="736"/>
    </row>
    <row r="875" spans="3:15">
      <c r="C875" s="673" t="s">
        <v>288</v>
      </c>
      <c r="D875" s="1242"/>
      <c r="E875" s="673"/>
      <c r="F875" s="1242"/>
      <c r="G875" s="1242">
        <f>SUM(G815:G874)</f>
        <v>15268875.43463229</v>
      </c>
      <c r="H875" s="1242">
        <f>SUM(H815:H874)</f>
        <v>15268875.43463229</v>
      </c>
      <c r="I875" s="1242">
        <f>SUM(I815:I874)</f>
        <v>0</v>
      </c>
      <c r="J875" s="1242"/>
      <c r="K875" s="1242"/>
      <c r="L875" s="1242"/>
      <c r="M875" s="1242"/>
      <c r="N875" s="1242"/>
      <c r="O875" s="542"/>
    </row>
    <row r="876" spans="3:15">
      <c r="D876" s="563"/>
      <c r="E876" s="542"/>
      <c r="F876" s="542"/>
      <c r="G876" s="542"/>
      <c r="H876" s="1241"/>
      <c r="I876" s="1241"/>
      <c r="J876" s="1242"/>
      <c r="K876" s="1241"/>
      <c r="L876" s="1241"/>
      <c r="M876" s="1241"/>
      <c r="N876" s="1241"/>
      <c r="O876" s="542"/>
    </row>
    <row r="877" spans="3:15">
      <c r="C877" s="542" t="s">
        <v>595</v>
      </c>
      <c r="D877" s="563"/>
      <c r="E877" s="542"/>
      <c r="F877" s="542"/>
      <c r="G877" s="542"/>
      <c r="H877" s="1241"/>
      <c r="I877" s="1241"/>
      <c r="J877" s="1242"/>
      <c r="K877" s="1241"/>
      <c r="L877" s="1241"/>
      <c r="M877" s="1241"/>
      <c r="N877" s="1241"/>
      <c r="O877" s="542"/>
    </row>
    <row r="878" spans="3:15">
      <c r="C878" s="542"/>
      <c r="D878" s="563"/>
      <c r="E878" s="542"/>
      <c r="F878" s="542"/>
      <c r="G878" s="542"/>
      <c r="H878" s="1241"/>
      <c r="I878" s="1241"/>
      <c r="J878" s="1242"/>
      <c r="K878" s="1241"/>
      <c r="L878" s="1241"/>
      <c r="M878" s="1241"/>
      <c r="N878" s="1241"/>
      <c r="O878" s="542"/>
    </row>
    <row r="879" spans="3:15">
      <c r="C879" s="684" t="s">
        <v>934</v>
      </c>
      <c r="D879" s="673"/>
      <c r="E879" s="673"/>
      <c r="F879" s="673"/>
      <c r="G879" s="1242"/>
      <c r="H879" s="1242"/>
      <c r="I879" s="674"/>
      <c r="J879" s="674"/>
      <c r="K879" s="674"/>
      <c r="L879" s="674"/>
      <c r="M879" s="674"/>
      <c r="N879" s="674"/>
      <c r="O879" s="542"/>
    </row>
    <row r="880" spans="3:15">
      <c r="C880" s="684" t="s">
        <v>476</v>
      </c>
      <c r="D880" s="673"/>
      <c r="E880" s="673"/>
      <c r="F880" s="673"/>
      <c r="G880" s="1242"/>
      <c r="H880" s="1242"/>
      <c r="I880" s="674"/>
      <c r="J880" s="674"/>
      <c r="K880" s="674"/>
      <c r="L880" s="674"/>
      <c r="M880" s="674"/>
      <c r="N880" s="674"/>
      <c r="O880" s="542"/>
    </row>
    <row r="881" spans="1:16">
      <c r="C881" s="672" t="s">
        <v>289</v>
      </c>
      <c r="D881" s="673"/>
      <c r="E881" s="673"/>
      <c r="F881" s="673"/>
      <c r="G881" s="1242"/>
      <c r="H881" s="1242"/>
      <c r="I881" s="674"/>
      <c r="J881" s="674"/>
      <c r="K881" s="674"/>
      <c r="L881" s="674"/>
      <c r="M881" s="674"/>
      <c r="N881" s="674"/>
      <c r="O881" s="542"/>
    </row>
    <row r="882" spans="1:16">
      <c r="C882" s="672"/>
      <c r="D882" s="673"/>
      <c r="E882" s="673"/>
      <c r="F882" s="673"/>
      <c r="G882" s="1242"/>
      <c r="H882" s="1242"/>
      <c r="I882" s="674"/>
      <c r="J882" s="674"/>
      <c r="K882" s="674"/>
      <c r="L882" s="674"/>
      <c r="M882" s="674"/>
      <c r="N882" s="674"/>
      <c r="O882" s="542"/>
    </row>
    <row r="883" spans="1:16">
      <c r="C883" s="1701" t="s">
        <v>460</v>
      </c>
      <c r="D883" s="1701"/>
      <c r="E883" s="1701"/>
      <c r="F883" s="1701"/>
      <c r="G883" s="1701"/>
      <c r="H883" s="1701"/>
      <c r="I883" s="1701"/>
      <c r="J883" s="1701"/>
      <c r="K883" s="1701"/>
      <c r="L883" s="1701"/>
      <c r="M883" s="1701"/>
      <c r="N883" s="1701"/>
      <c r="O883" s="1701"/>
    </row>
    <row r="884" spans="1:16">
      <c r="C884" s="1701"/>
      <c r="D884" s="1701"/>
      <c r="E884" s="1701"/>
      <c r="F884" s="1701"/>
      <c r="G884" s="1701"/>
      <c r="H884" s="1701"/>
      <c r="I884" s="1701"/>
      <c r="J884" s="1701"/>
      <c r="K884" s="1701"/>
      <c r="L884" s="1701"/>
      <c r="M884" s="1701"/>
      <c r="N884" s="1701"/>
      <c r="O884" s="1701"/>
    </row>
    <row r="885" spans="1:16" ht="20.25">
      <c r="A885" s="675" t="s">
        <v>931</v>
      </c>
      <c r="B885" s="576"/>
      <c r="C885" s="655"/>
      <c r="D885" s="563"/>
      <c r="E885" s="542"/>
      <c r="F885" s="645"/>
      <c r="G885" s="542"/>
      <c r="H885" s="1241"/>
      <c r="K885" s="676"/>
      <c r="L885" s="676"/>
      <c r="M885" s="676"/>
      <c r="N885" s="591" t="str">
        <f>"Page "&amp;SUM(P$6:P885)&amp;" of "</f>
        <v xml:space="preserve">Page 10 of </v>
      </c>
      <c r="O885" s="592">
        <f>COUNT(P$6:P$59579)</f>
        <v>22</v>
      </c>
      <c r="P885" s="542">
        <v>1</v>
      </c>
    </row>
    <row r="886" spans="1:16">
      <c r="B886" s="576"/>
      <c r="C886" s="542"/>
      <c r="D886" s="563"/>
      <c r="E886" s="542"/>
      <c r="F886" s="542"/>
      <c r="G886" s="542"/>
      <c r="H886" s="1241"/>
      <c r="I886" s="542"/>
      <c r="J886" s="588"/>
      <c r="K886" s="542"/>
      <c r="L886" s="542"/>
      <c r="M886" s="542"/>
      <c r="N886" s="542"/>
      <c r="O886" s="542"/>
    </row>
    <row r="887" spans="1:16" ht="18">
      <c r="B887" s="595" t="s">
        <v>174</v>
      </c>
      <c r="C887" s="677" t="s">
        <v>290</v>
      </c>
      <c r="D887" s="563"/>
      <c r="E887" s="542"/>
      <c r="F887" s="542"/>
      <c r="G887" s="542"/>
      <c r="H887" s="1241"/>
      <c r="I887" s="1241"/>
      <c r="J887" s="1242"/>
      <c r="K887" s="1241"/>
      <c r="L887" s="1241"/>
      <c r="M887" s="1241"/>
      <c r="N887" s="1241"/>
      <c r="O887" s="542"/>
    </row>
    <row r="888" spans="1:16" ht="18.75">
      <c r="B888" s="595"/>
      <c r="C888" s="594"/>
      <c r="D888" s="563"/>
      <c r="E888" s="542"/>
      <c r="F888" s="542"/>
      <c r="G888" s="542"/>
      <c r="H888" s="1241"/>
      <c r="I888" s="1241"/>
      <c r="J888" s="1242"/>
      <c r="K888" s="1241"/>
      <c r="L888" s="1241"/>
      <c r="M888" s="1241"/>
      <c r="N888" s="1241"/>
      <c r="O888" s="542"/>
    </row>
    <row r="889" spans="1:16" ht="18.75">
      <c r="B889" s="595"/>
      <c r="C889" s="594" t="s">
        <v>291</v>
      </c>
      <c r="D889" s="563"/>
      <c r="E889" s="542"/>
      <c r="F889" s="542"/>
      <c r="G889" s="542"/>
      <c r="H889" s="1241"/>
      <c r="I889" s="1241"/>
      <c r="J889" s="1242"/>
      <c r="K889" s="1241"/>
      <c r="L889" s="1241"/>
      <c r="M889" s="1241"/>
      <c r="N889" s="1241"/>
      <c r="O889" s="542"/>
    </row>
    <row r="890" spans="1:16" ht="15.75" thickBot="1">
      <c r="C890" s="396"/>
      <c r="D890" s="563"/>
      <c r="E890" s="542"/>
      <c r="F890" s="542"/>
      <c r="G890" s="542"/>
      <c r="H890" s="1241"/>
      <c r="I890" s="1241"/>
      <c r="J890" s="1242"/>
      <c r="K890" s="1241"/>
      <c r="L890" s="1241"/>
      <c r="M890" s="1241"/>
      <c r="N890" s="1241"/>
      <c r="O890" s="542"/>
    </row>
    <row r="891" spans="1:16" ht="15.75">
      <c r="C891" s="596" t="s">
        <v>292</v>
      </c>
      <c r="D891" s="563"/>
      <c r="E891" s="542"/>
      <c r="F891" s="542"/>
      <c r="G891" s="1276"/>
      <c r="H891" s="542" t="s">
        <v>271</v>
      </c>
      <c r="I891" s="542"/>
      <c r="J891" s="588"/>
      <c r="K891" s="678" t="s">
        <v>296</v>
      </c>
      <c r="L891" s="679"/>
      <c r="M891" s="680"/>
      <c r="N891" s="1244">
        <f>VLOOKUP(I897,C904:O963,5)</f>
        <v>660666.16088799387</v>
      </c>
      <c r="O891" s="542"/>
    </row>
    <row r="892" spans="1:16" ht="15.75">
      <c r="C892" s="596"/>
      <c r="D892" s="563"/>
      <c r="E892" s="542"/>
      <c r="F892" s="542"/>
      <c r="G892" s="542"/>
      <c r="H892" s="1245"/>
      <c r="I892" s="1245"/>
      <c r="J892" s="1246"/>
      <c r="K892" s="683" t="s">
        <v>297</v>
      </c>
      <c r="L892" s="1247"/>
      <c r="M892" s="588"/>
      <c r="N892" s="1248">
        <f>VLOOKUP(I897,C904:O963,6)</f>
        <v>660666.16088799387</v>
      </c>
      <c r="O892" s="542"/>
    </row>
    <row r="893" spans="1:16" ht="13.5" thickBot="1">
      <c r="C893" s="684" t="s">
        <v>293</v>
      </c>
      <c r="D893" s="1703" t="s">
        <v>943</v>
      </c>
      <c r="E893" s="1703"/>
      <c r="F893" s="1703"/>
      <c r="G893" s="1703"/>
      <c r="H893" s="1703"/>
      <c r="I893" s="1703"/>
      <c r="J893" s="1242"/>
      <c r="K893" s="1249" t="s">
        <v>450</v>
      </c>
      <c r="L893" s="1250"/>
      <c r="M893" s="1250"/>
      <c r="N893" s="1251">
        <f>+N892-N891</f>
        <v>0</v>
      </c>
      <c r="O893" s="542"/>
    </row>
    <row r="894" spans="1:16">
      <c r="C894" s="686"/>
      <c r="D894" s="687"/>
      <c r="E894" s="671"/>
      <c r="F894" s="671"/>
      <c r="G894" s="688"/>
      <c r="H894" s="1241"/>
      <c r="I894" s="1241"/>
      <c r="J894" s="1242"/>
      <c r="K894" s="1241"/>
      <c r="L894" s="1241"/>
      <c r="M894" s="1241"/>
      <c r="N894" s="1241"/>
      <c r="O894" s="542"/>
    </row>
    <row r="895" spans="1:16" ht="13.5" thickBot="1">
      <c r="C895" s="689"/>
      <c r="D895" s="1252"/>
      <c r="E895" s="688"/>
      <c r="F895" s="688"/>
      <c r="G895" s="688"/>
      <c r="H895" s="688"/>
      <c r="I895" s="688"/>
      <c r="J895" s="691"/>
      <c r="K895" s="688"/>
      <c r="L895" s="688"/>
      <c r="M895" s="688"/>
      <c r="N895" s="688"/>
      <c r="O895" s="576"/>
    </row>
    <row r="896" spans="1:16" ht="13.5" thickBot="1">
      <c r="C896" s="692" t="s">
        <v>294</v>
      </c>
      <c r="D896" s="693"/>
      <c r="E896" s="693"/>
      <c r="F896" s="693"/>
      <c r="G896" s="693"/>
      <c r="H896" s="693"/>
      <c r="I896" s="694"/>
      <c r="J896" s="695"/>
      <c r="K896" s="542"/>
      <c r="L896" s="542"/>
      <c r="M896" s="542"/>
      <c r="N896" s="542"/>
      <c r="O896" s="696"/>
    </row>
    <row r="897" spans="1:15" ht="15">
      <c r="C897" s="697" t="s">
        <v>272</v>
      </c>
      <c r="D897" s="1253">
        <v>4140077</v>
      </c>
      <c r="E897" s="655" t="s">
        <v>273</v>
      </c>
      <c r="G897" s="698"/>
      <c r="H897" s="698"/>
      <c r="I897" s="699">
        <v>2018</v>
      </c>
      <c r="J897" s="586"/>
      <c r="K897" s="1702" t="s">
        <v>459</v>
      </c>
      <c r="L897" s="1702"/>
      <c r="M897" s="1702"/>
      <c r="N897" s="1702"/>
      <c r="O897" s="1702"/>
    </row>
    <row r="898" spans="1:15">
      <c r="C898" s="697" t="s">
        <v>275</v>
      </c>
      <c r="D898" s="865">
        <v>2013</v>
      </c>
      <c r="E898" s="697" t="s">
        <v>276</v>
      </c>
      <c r="F898" s="698"/>
      <c r="H898" s="330"/>
      <c r="I898" s="1254">
        <f>IF(G891="",0,$F$15)</f>
        <v>0</v>
      </c>
      <c r="J898" s="700"/>
      <c r="K898" s="1242" t="s">
        <v>459</v>
      </c>
    </row>
    <row r="899" spans="1:15">
      <c r="C899" s="697" t="s">
        <v>277</v>
      </c>
      <c r="D899" s="1253">
        <v>9</v>
      </c>
      <c r="E899" s="697" t="s">
        <v>278</v>
      </c>
      <c r="F899" s="698"/>
      <c r="H899" s="330"/>
      <c r="I899" s="701">
        <f>$G$70</f>
        <v>0.15341253840442806</v>
      </c>
      <c r="J899" s="702"/>
      <c r="K899" s="330" t="str">
        <f>"          INPUT PROJECTED ARR (WITH &amp; WITHOUT INCENTIVES) FROM EACH PRIOR YEAR"</f>
        <v xml:space="preserve">          INPUT PROJECTED ARR (WITH &amp; WITHOUT INCENTIVES) FROM EACH PRIOR YEAR</v>
      </c>
    </row>
    <row r="900" spans="1:15">
      <c r="C900" s="697" t="s">
        <v>279</v>
      </c>
      <c r="D900" s="703">
        <f>G$79</f>
        <v>44</v>
      </c>
      <c r="E900" s="697" t="s">
        <v>280</v>
      </c>
      <c r="F900" s="698"/>
      <c r="H900" s="330"/>
      <c r="I900" s="701">
        <f>IF(G891="",I899,$G$67)</f>
        <v>0.15341253840442806</v>
      </c>
      <c r="J900" s="704"/>
      <c r="K900" s="330" t="s">
        <v>357</v>
      </c>
    </row>
    <row r="901" spans="1:15" ht="13.5" thickBot="1">
      <c r="C901" s="697" t="s">
        <v>281</v>
      </c>
      <c r="D901" s="866" t="s">
        <v>933</v>
      </c>
      <c r="E901" s="705" t="s">
        <v>282</v>
      </c>
      <c r="F901" s="706"/>
      <c r="G901" s="707"/>
      <c r="H901" s="707"/>
      <c r="I901" s="1251">
        <f>IF(D897=0,0,D897/D900)</f>
        <v>94092.659090909088</v>
      </c>
      <c r="J901" s="1242"/>
      <c r="K901" s="1242" t="s">
        <v>363</v>
      </c>
      <c r="L901" s="1242"/>
      <c r="M901" s="1242"/>
      <c r="N901" s="1242"/>
      <c r="O901" s="588"/>
    </row>
    <row r="902" spans="1:15" ht="51">
      <c r="A902" s="529"/>
      <c r="B902" s="1255"/>
      <c r="C902" s="708" t="s">
        <v>272</v>
      </c>
      <c r="D902" s="1256" t="s">
        <v>283</v>
      </c>
      <c r="E902" s="1257" t="s">
        <v>284</v>
      </c>
      <c r="F902" s="1256" t="s">
        <v>285</v>
      </c>
      <c r="G902" s="1257" t="s">
        <v>356</v>
      </c>
      <c r="H902" s="1258" t="s">
        <v>356</v>
      </c>
      <c r="I902" s="708" t="s">
        <v>295</v>
      </c>
      <c r="J902" s="712"/>
      <c r="K902" s="1257" t="s">
        <v>365</v>
      </c>
      <c r="L902" s="1259"/>
      <c r="M902" s="1257" t="s">
        <v>365</v>
      </c>
      <c r="N902" s="1259"/>
      <c r="O902" s="1259"/>
    </row>
    <row r="903" spans="1:15" ht="13.5" thickBot="1">
      <c r="C903" s="714" t="s">
        <v>177</v>
      </c>
      <c r="D903" s="715" t="s">
        <v>178</v>
      </c>
      <c r="E903" s="714" t="s">
        <v>37</v>
      </c>
      <c r="F903" s="715" t="s">
        <v>178</v>
      </c>
      <c r="G903" s="1260" t="s">
        <v>298</v>
      </c>
      <c r="H903" s="1261" t="s">
        <v>300</v>
      </c>
      <c r="I903" s="718" t="s">
        <v>389</v>
      </c>
      <c r="J903" s="719"/>
      <c r="K903" s="1260" t="s">
        <v>287</v>
      </c>
      <c r="L903" s="1262"/>
      <c r="M903" s="1260" t="s">
        <v>300</v>
      </c>
      <c r="N903" s="1262"/>
      <c r="O903" s="1262"/>
    </row>
    <row r="904" spans="1:15">
      <c r="C904" s="720">
        <f>IF(D898= "","-",D898)</f>
        <v>2013</v>
      </c>
      <c r="D904" s="673">
        <f>+D897</f>
        <v>4140077</v>
      </c>
      <c r="E904" s="1263">
        <f>+I901/12*(12-D899)</f>
        <v>23523.164772727272</v>
      </c>
      <c r="F904" s="673">
        <f t="shared" ref="F904:F963" si="54">+D904-E904</f>
        <v>4116553.8352272729</v>
      </c>
      <c r="G904" s="1264">
        <f>+$I$899*((D904+F904)/2)+E904</f>
        <v>656858.51232297183</v>
      </c>
      <c r="H904" s="1265">
        <f>$I$900*((D904+F904)/2)+E904</f>
        <v>656858.51232297183</v>
      </c>
      <c r="I904" s="724">
        <f>+H904-G904</f>
        <v>0</v>
      </c>
      <c r="J904" s="724"/>
      <c r="K904" s="868">
        <v>9.9999999999999995E-7</v>
      </c>
      <c r="L904" s="725"/>
      <c r="M904" s="868">
        <v>9.9999999999999995E-7</v>
      </c>
      <c r="N904" s="725"/>
      <c r="O904" s="725"/>
    </row>
    <row r="905" spans="1:15">
      <c r="C905" s="720">
        <f>IF(D898="","-",+C904+1)</f>
        <v>2014</v>
      </c>
      <c r="D905" s="673">
        <f t="shared" ref="D905:D963" si="55">F904</f>
        <v>4116553.8352272729</v>
      </c>
      <c r="E905" s="726">
        <f>IF(D905&gt;$I$901,$I$901,D905)</f>
        <v>94092.659090909088</v>
      </c>
      <c r="F905" s="673">
        <f t="shared" si="54"/>
        <v>4022461.1761363638</v>
      </c>
      <c r="G905" s="1263">
        <f t="shared" ref="G905:G963" si="56">+$I$899*((D905+F905)/2)+E905</f>
        <v>718406.13559342921</v>
      </c>
      <c r="H905" s="1266">
        <f t="shared" ref="H905:H963" si="57">$I$900*((D905+F905)/2)+E905</f>
        <v>718406.13559342921</v>
      </c>
      <c r="I905" s="724">
        <f t="shared" ref="I905:I963" si="58">+H905-G905</f>
        <v>0</v>
      </c>
      <c r="J905" s="724"/>
      <c r="K905" s="869">
        <v>95797</v>
      </c>
      <c r="L905" s="729"/>
      <c r="M905" s="869">
        <v>95797</v>
      </c>
      <c r="N905" s="729"/>
      <c r="O905" s="729"/>
    </row>
    <row r="906" spans="1:15">
      <c r="C906" s="720">
        <f>IF(D898="","-",+C905+1)</f>
        <v>2015</v>
      </c>
      <c r="D906" s="673">
        <f t="shared" si="55"/>
        <v>4022461.1761363638</v>
      </c>
      <c r="E906" s="726">
        <f t="shared" ref="E906:E963" si="59">IF(D906&gt;$I$901,$I$901,D906)</f>
        <v>94092.659090909088</v>
      </c>
      <c r="F906" s="673">
        <f t="shared" si="54"/>
        <v>3928368.5170454546</v>
      </c>
      <c r="G906" s="1263">
        <f t="shared" si="56"/>
        <v>703971.14191707037</v>
      </c>
      <c r="H906" s="1266">
        <f t="shared" si="57"/>
        <v>703971.14191707037</v>
      </c>
      <c r="I906" s="724">
        <f t="shared" si="58"/>
        <v>0</v>
      </c>
      <c r="J906" s="724"/>
      <c r="K906" s="869">
        <v>660744</v>
      </c>
      <c r="L906" s="729"/>
      <c r="M906" s="869">
        <v>660744</v>
      </c>
      <c r="N906" s="729"/>
      <c r="O906" s="729"/>
    </row>
    <row r="907" spans="1:15">
      <c r="C907" s="720">
        <f>IF(D898="","-",+C906+1)</f>
        <v>2016</v>
      </c>
      <c r="D907" s="673">
        <f t="shared" si="55"/>
        <v>3928368.5170454546</v>
      </c>
      <c r="E907" s="726">
        <f t="shared" si="59"/>
        <v>94092.659090909088</v>
      </c>
      <c r="F907" s="673">
        <f t="shared" si="54"/>
        <v>3834275.8579545454</v>
      </c>
      <c r="G907" s="1263">
        <f t="shared" si="56"/>
        <v>689536.14824071154</v>
      </c>
      <c r="H907" s="1266">
        <f t="shared" si="57"/>
        <v>689536.14824071154</v>
      </c>
      <c r="I907" s="724">
        <f t="shared" si="58"/>
        <v>0</v>
      </c>
      <c r="J907" s="724"/>
      <c r="K907" s="869">
        <v>821901</v>
      </c>
      <c r="L907" s="729"/>
      <c r="M907" s="869">
        <v>821901</v>
      </c>
      <c r="N907" s="729"/>
      <c r="O907" s="729"/>
    </row>
    <row r="908" spans="1:15">
      <c r="C908" s="720">
        <f>IF(D898="","-",+C907+1)</f>
        <v>2017</v>
      </c>
      <c r="D908" s="673">
        <f t="shared" si="55"/>
        <v>3834275.8579545454</v>
      </c>
      <c r="E908" s="726">
        <f t="shared" si="59"/>
        <v>94092.659090909088</v>
      </c>
      <c r="F908" s="673">
        <f t="shared" si="54"/>
        <v>3740183.1988636362</v>
      </c>
      <c r="G908" s="1263">
        <f t="shared" si="56"/>
        <v>675101.15456435271</v>
      </c>
      <c r="H908" s="1266">
        <f t="shared" si="57"/>
        <v>675101.15456435271</v>
      </c>
      <c r="I908" s="724">
        <f t="shared" si="58"/>
        <v>0</v>
      </c>
      <c r="J908" s="724"/>
      <c r="K908" s="869">
        <v>828442</v>
      </c>
      <c r="L908" s="729"/>
      <c r="M908" s="869">
        <v>828442</v>
      </c>
      <c r="N908" s="729"/>
      <c r="O908" s="729"/>
    </row>
    <row r="909" spans="1:15">
      <c r="C909" s="1268">
        <f>IF(D898="","-",+C908+1)</f>
        <v>2018</v>
      </c>
      <c r="D909" s="1269">
        <f t="shared" si="55"/>
        <v>3740183.1988636362</v>
      </c>
      <c r="E909" s="1270">
        <f t="shared" si="59"/>
        <v>94092.659090909088</v>
      </c>
      <c r="F909" s="1269">
        <f t="shared" si="54"/>
        <v>3646090.5397727271</v>
      </c>
      <c r="G909" s="1271">
        <f t="shared" si="56"/>
        <v>660666.16088799387</v>
      </c>
      <c r="H909" s="1272">
        <f t="shared" si="57"/>
        <v>660666.16088799387</v>
      </c>
      <c r="I909" s="1273">
        <f t="shared" si="58"/>
        <v>0</v>
      </c>
      <c r="J909" s="724"/>
      <c r="K909" s="869"/>
      <c r="L909" s="729"/>
      <c r="M909" s="869"/>
      <c r="N909" s="729"/>
      <c r="O909" s="729"/>
    </row>
    <row r="910" spans="1:15">
      <c r="C910" s="720">
        <f>IF(D898="","-",+C909+1)</f>
        <v>2019</v>
      </c>
      <c r="D910" s="673">
        <f t="shared" si="55"/>
        <v>3646090.5397727271</v>
      </c>
      <c r="E910" s="726">
        <f t="shared" si="59"/>
        <v>94092.659090909088</v>
      </c>
      <c r="F910" s="673">
        <f t="shared" si="54"/>
        <v>3551997.8806818179</v>
      </c>
      <c r="G910" s="1263">
        <f t="shared" si="56"/>
        <v>646231.16721163492</v>
      </c>
      <c r="H910" s="1266">
        <f t="shared" si="57"/>
        <v>646231.16721163492</v>
      </c>
      <c r="I910" s="724">
        <f t="shared" si="58"/>
        <v>0</v>
      </c>
      <c r="J910" s="724"/>
      <c r="K910" s="869"/>
      <c r="L910" s="729"/>
      <c r="M910" s="869"/>
      <c r="N910" s="729"/>
      <c r="O910" s="729"/>
    </row>
    <row r="911" spans="1:15">
      <c r="C911" s="720">
        <f>IF(D898="","-",+C910+1)</f>
        <v>2020</v>
      </c>
      <c r="D911" s="673">
        <f t="shared" si="55"/>
        <v>3551997.8806818179</v>
      </c>
      <c r="E911" s="726">
        <f t="shared" si="59"/>
        <v>94092.659090909088</v>
      </c>
      <c r="F911" s="673">
        <f t="shared" si="54"/>
        <v>3457905.2215909087</v>
      </c>
      <c r="G911" s="1263">
        <f t="shared" si="56"/>
        <v>631796.17353527609</v>
      </c>
      <c r="H911" s="1266">
        <f t="shared" si="57"/>
        <v>631796.17353527609</v>
      </c>
      <c r="I911" s="724">
        <f t="shared" si="58"/>
        <v>0</v>
      </c>
      <c r="J911" s="724"/>
      <c r="K911" s="869"/>
      <c r="L911" s="729"/>
      <c r="M911" s="869"/>
      <c r="N911" s="729"/>
      <c r="O911" s="729"/>
    </row>
    <row r="912" spans="1:15">
      <c r="C912" s="720">
        <f>IF(D898="","-",+C911+1)</f>
        <v>2021</v>
      </c>
      <c r="D912" s="673">
        <f t="shared" si="55"/>
        <v>3457905.2215909087</v>
      </c>
      <c r="E912" s="726">
        <f t="shared" si="59"/>
        <v>94092.659090909088</v>
      </c>
      <c r="F912" s="673">
        <f t="shared" si="54"/>
        <v>3363812.5624999995</v>
      </c>
      <c r="G912" s="1263">
        <f t="shared" si="56"/>
        <v>617361.17985891725</v>
      </c>
      <c r="H912" s="1266">
        <f t="shared" si="57"/>
        <v>617361.17985891725</v>
      </c>
      <c r="I912" s="724">
        <f t="shared" si="58"/>
        <v>0</v>
      </c>
      <c r="J912" s="724"/>
      <c r="K912" s="869"/>
      <c r="L912" s="729"/>
      <c r="M912" s="869"/>
      <c r="N912" s="729"/>
      <c r="O912" s="729"/>
    </row>
    <row r="913" spans="3:15">
      <c r="C913" s="720">
        <f>IF(D898="","-",+C912+1)</f>
        <v>2022</v>
      </c>
      <c r="D913" s="673">
        <f t="shared" si="55"/>
        <v>3363812.5624999995</v>
      </c>
      <c r="E913" s="726">
        <f t="shared" si="59"/>
        <v>94092.659090909088</v>
      </c>
      <c r="F913" s="673">
        <f t="shared" si="54"/>
        <v>3269719.9034090904</v>
      </c>
      <c r="G913" s="1263">
        <f t="shared" si="56"/>
        <v>602926.18618255842</v>
      </c>
      <c r="H913" s="1266">
        <f t="shared" si="57"/>
        <v>602926.18618255842</v>
      </c>
      <c r="I913" s="724">
        <f t="shared" si="58"/>
        <v>0</v>
      </c>
      <c r="J913" s="724"/>
      <c r="K913" s="869"/>
      <c r="L913" s="729"/>
      <c r="M913" s="869"/>
      <c r="N913" s="729"/>
      <c r="O913" s="729"/>
    </row>
    <row r="914" spans="3:15">
      <c r="C914" s="720">
        <f>IF(D898="","-",+C913+1)</f>
        <v>2023</v>
      </c>
      <c r="D914" s="673">
        <f t="shared" si="55"/>
        <v>3269719.9034090904</v>
      </c>
      <c r="E914" s="726">
        <f t="shared" si="59"/>
        <v>94092.659090909088</v>
      </c>
      <c r="F914" s="673">
        <f t="shared" si="54"/>
        <v>3175627.2443181812</v>
      </c>
      <c r="G914" s="1263">
        <f t="shared" si="56"/>
        <v>588491.19250619959</v>
      </c>
      <c r="H914" s="1266">
        <f t="shared" si="57"/>
        <v>588491.19250619959</v>
      </c>
      <c r="I914" s="724">
        <f t="shared" si="58"/>
        <v>0</v>
      </c>
      <c r="J914" s="724"/>
      <c r="K914" s="869"/>
      <c r="L914" s="729"/>
      <c r="M914" s="869"/>
      <c r="N914" s="729"/>
      <c r="O914" s="729"/>
    </row>
    <row r="915" spans="3:15">
      <c r="C915" s="720">
        <f>IF(D898="","-",+C914+1)</f>
        <v>2024</v>
      </c>
      <c r="D915" s="673">
        <f t="shared" si="55"/>
        <v>3175627.2443181812</v>
      </c>
      <c r="E915" s="726">
        <f t="shared" si="59"/>
        <v>94092.659090909088</v>
      </c>
      <c r="F915" s="673">
        <f t="shared" si="54"/>
        <v>3081534.585227272</v>
      </c>
      <c r="G915" s="1263">
        <f t="shared" si="56"/>
        <v>574056.19882984064</v>
      </c>
      <c r="H915" s="1266">
        <f t="shared" si="57"/>
        <v>574056.19882984064</v>
      </c>
      <c r="I915" s="724">
        <f t="shared" si="58"/>
        <v>0</v>
      </c>
      <c r="J915" s="724"/>
      <c r="K915" s="869"/>
      <c r="L915" s="729"/>
      <c r="M915" s="869"/>
      <c r="N915" s="729"/>
      <c r="O915" s="729"/>
    </row>
    <row r="916" spans="3:15">
      <c r="C916" s="720">
        <f>IF(D898="","-",+C915+1)</f>
        <v>2025</v>
      </c>
      <c r="D916" s="673">
        <f t="shared" si="55"/>
        <v>3081534.585227272</v>
      </c>
      <c r="E916" s="726">
        <f t="shared" si="59"/>
        <v>94092.659090909088</v>
      </c>
      <c r="F916" s="673">
        <f t="shared" si="54"/>
        <v>2987441.9261363628</v>
      </c>
      <c r="G916" s="1263">
        <f t="shared" si="56"/>
        <v>559621.2051534818</v>
      </c>
      <c r="H916" s="1266">
        <f t="shared" si="57"/>
        <v>559621.2051534818</v>
      </c>
      <c r="I916" s="724">
        <f t="shared" si="58"/>
        <v>0</v>
      </c>
      <c r="J916" s="724"/>
      <c r="K916" s="869"/>
      <c r="L916" s="729"/>
      <c r="M916" s="869"/>
      <c r="N916" s="729"/>
      <c r="O916" s="729"/>
    </row>
    <row r="917" spans="3:15">
      <c r="C917" s="720">
        <f>IF(D898="","-",+C916+1)</f>
        <v>2026</v>
      </c>
      <c r="D917" s="673">
        <f t="shared" si="55"/>
        <v>2987441.9261363628</v>
      </c>
      <c r="E917" s="726">
        <f t="shared" si="59"/>
        <v>94092.659090909088</v>
      </c>
      <c r="F917" s="673">
        <f t="shared" si="54"/>
        <v>2893349.2670454537</v>
      </c>
      <c r="G917" s="1263">
        <f t="shared" si="56"/>
        <v>545186.21147712297</v>
      </c>
      <c r="H917" s="1266">
        <f t="shared" si="57"/>
        <v>545186.21147712297</v>
      </c>
      <c r="I917" s="724">
        <f t="shared" si="58"/>
        <v>0</v>
      </c>
      <c r="J917" s="724"/>
      <c r="K917" s="869"/>
      <c r="L917" s="729"/>
      <c r="M917" s="869"/>
      <c r="N917" s="729"/>
      <c r="O917" s="729"/>
    </row>
    <row r="918" spans="3:15">
      <c r="C918" s="720">
        <f>IF(D898="","-",+C917+1)</f>
        <v>2027</v>
      </c>
      <c r="D918" s="673">
        <f t="shared" si="55"/>
        <v>2893349.2670454537</v>
      </c>
      <c r="E918" s="726">
        <f t="shared" si="59"/>
        <v>94092.659090909088</v>
      </c>
      <c r="F918" s="673">
        <f t="shared" si="54"/>
        <v>2799256.6079545445</v>
      </c>
      <c r="G918" s="1263">
        <f t="shared" si="56"/>
        <v>530751.21780076413</v>
      </c>
      <c r="H918" s="1266">
        <f t="shared" si="57"/>
        <v>530751.21780076413</v>
      </c>
      <c r="I918" s="724">
        <f t="shared" si="58"/>
        <v>0</v>
      </c>
      <c r="J918" s="724"/>
      <c r="K918" s="869"/>
      <c r="L918" s="729"/>
      <c r="M918" s="869"/>
      <c r="N918" s="729"/>
      <c r="O918" s="729"/>
    </row>
    <row r="919" spans="3:15">
      <c r="C919" s="720">
        <f>IF(D898="","-",+C918+1)</f>
        <v>2028</v>
      </c>
      <c r="D919" s="673">
        <f t="shared" si="55"/>
        <v>2799256.6079545445</v>
      </c>
      <c r="E919" s="726">
        <f t="shared" si="59"/>
        <v>94092.659090909088</v>
      </c>
      <c r="F919" s="673">
        <f t="shared" si="54"/>
        <v>2705163.9488636353</v>
      </c>
      <c r="G919" s="1263">
        <f t="shared" si="56"/>
        <v>516316.22412440518</v>
      </c>
      <c r="H919" s="1266">
        <f t="shared" si="57"/>
        <v>516316.22412440518</v>
      </c>
      <c r="I919" s="724">
        <f t="shared" si="58"/>
        <v>0</v>
      </c>
      <c r="J919" s="724"/>
      <c r="K919" s="869"/>
      <c r="L919" s="729"/>
      <c r="M919" s="869"/>
      <c r="N919" s="729"/>
      <c r="O919" s="729"/>
    </row>
    <row r="920" spans="3:15">
      <c r="C920" s="720">
        <f>IF(D898="","-",+C919+1)</f>
        <v>2029</v>
      </c>
      <c r="D920" s="673">
        <f t="shared" si="55"/>
        <v>2705163.9488636353</v>
      </c>
      <c r="E920" s="726">
        <f t="shared" si="59"/>
        <v>94092.659090909088</v>
      </c>
      <c r="F920" s="673">
        <f t="shared" si="54"/>
        <v>2611071.2897727261</v>
      </c>
      <c r="G920" s="1263">
        <f t="shared" si="56"/>
        <v>501881.23044804635</v>
      </c>
      <c r="H920" s="1266">
        <f t="shared" si="57"/>
        <v>501881.23044804635</v>
      </c>
      <c r="I920" s="724">
        <f t="shared" si="58"/>
        <v>0</v>
      </c>
      <c r="J920" s="724"/>
      <c r="K920" s="869"/>
      <c r="L920" s="729"/>
      <c r="M920" s="869"/>
      <c r="N920" s="729"/>
      <c r="O920" s="729"/>
    </row>
    <row r="921" spans="3:15">
      <c r="C921" s="720">
        <f>IF(D898="","-",+C920+1)</f>
        <v>2030</v>
      </c>
      <c r="D921" s="673">
        <f t="shared" si="55"/>
        <v>2611071.2897727261</v>
      </c>
      <c r="E921" s="726">
        <f t="shared" si="59"/>
        <v>94092.659090909088</v>
      </c>
      <c r="F921" s="673">
        <f t="shared" si="54"/>
        <v>2516978.630681817</v>
      </c>
      <c r="G921" s="1263">
        <f t="shared" si="56"/>
        <v>487446.23677168752</v>
      </c>
      <c r="H921" s="1266">
        <f t="shared" si="57"/>
        <v>487446.23677168752</v>
      </c>
      <c r="I921" s="724">
        <f t="shared" si="58"/>
        <v>0</v>
      </c>
      <c r="J921" s="724"/>
      <c r="K921" s="869"/>
      <c r="L921" s="729"/>
      <c r="M921" s="869"/>
      <c r="N921" s="729"/>
      <c r="O921" s="729"/>
    </row>
    <row r="922" spans="3:15">
      <c r="C922" s="720">
        <f>IF(D898="","-",+C921+1)</f>
        <v>2031</v>
      </c>
      <c r="D922" s="673">
        <f t="shared" si="55"/>
        <v>2516978.630681817</v>
      </c>
      <c r="E922" s="726">
        <f t="shared" si="59"/>
        <v>94092.659090909088</v>
      </c>
      <c r="F922" s="673">
        <f t="shared" si="54"/>
        <v>2422885.9715909078</v>
      </c>
      <c r="G922" s="1263">
        <f t="shared" si="56"/>
        <v>473011.24309532868</v>
      </c>
      <c r="H922" s="1266">
        <f t="shared" si="57"/>
        <v>473011.24309532868</v>
      </c>
      <c r="I922" s="724">
        <f t="shared" si="58"/>
        <v>0</v>
      </c>
      <c r="J922" s="724"/>
      <c r="K922" s="869"/>
      <c r="L922" s="729"/>
      <c r="M922" s="869"/>
      <c r="N922" s="729"/>
      <c r="O922" s="729"/>
    </row>
    <row r="923" spans="3:15">
      <c r="C923" s="720">
        <f>IF(D898="","-",+C922+1)</f>
        <v>2032</v>
      </c>
      <c r="D923" s="673">
        <f t="shared" si="55"/>
        <v>2422885.9715909078</v>
      </c>
      <c r="E923" s="726">
        <f t="shared" si="59"/>
        <v>94092.659090909088</v>
      </c>
      <c r="F923" s="673">
        <f t="shared" si="54"/>
        <v>2328793.3124999986</v>
      </c>
      <c r="G923" s="1263">
        <f t="shared" si="56"/>
        <v>458576.24941896985</v>
      </c>
      <c r="H923" s="1266">
        <f t="shared" si="57"/>
        <v>458576.24941896985</v>
      </c>
      <c r="I923" s="724">
        <f t="shared" si="58"/>
        <v>0</v>
      </c>
      <c r="J923" s="724"/>
      <c r="K923" s="869"/>
      <c r="L923" s="729"/>
      <c r="M923" s="869"/>
      <c r="N923" s="729"/>
      <c r="O923" s="729"/>
    </row>
    <row r="924" spans="3:15">
      <c r="C924" s="720">
        <f>IF(D898="","-",+C923+1)</f>
        <v>2033</v>
      </c>
      <c r="D924" s="673">
        <f t="shared" si="55"/>
        <v>2328793.3124999986</v>
      </c>
      <c r="E924" s="726">
        <f t="shared" si="59"/>
        <v>94092.659090909088</v>
      </c>
      <c r="F924" s="673">
        <f t="shared" si="54"/>
        <v>2234700.6534090894</v>
      </c>
      <c r="G924" s="1263">
        <f t="shared" si="56"/>
        <v>444141.2557426109</v>
      </c>
      <c r="H924" s="1266">
        <f t="shared" si="57"/>
        <v>444141.2557426109</v>
      </c>
      <c r="I924" s="724">
        <f t="shared" si="58"/>
        <v>0</v>
      </c>
      <c r="J924" s="724"/>
      <c r="K924" s="869"/>
      <c r="L924" s="729"/>
      <c r="M924" s="869"/>
      <c r="N924" s="729"/>
      <c r="O924" s="729"/>
    </row>
    <row r="925" spans="3:15">
      <c r="C925" s="720">
        <f>IF(D898="","-",+C924+1)</f>
        <v>2034</v>
      </c>
      <c r="D925" s="673">
        <f t="shared" si="55"/>
        <v>2234700.6534090894</v>
      </c>
      <c r="E925" s="726">
        <f t="shared" si="59"/>
        <v>94092.659090909088</v>
      </c>
      <c r="F925" s="673">
        <f t="shared" si="54"/>
        <v>2140607.9943181803</v>
      </c>
      <c r="G925" s="1263">
        <f t="shared" si="56"/>
        <v>429706.26206625206</v>
      </c>
      <c r="H925" s="1266">
        <f t="shared" si="57"/>
        <v>429706.26206625206</v>
      </c>
      <c r="I925" s="724">
        <f t="shared" si="58"/>
        <v>0</v>
      </c>
      <c r="J925" s="724"/>
      <c r="K925" s="869"/>
      <c r="L925" s="729"/>
      <c r="M925" s="869"/>
      <c r="N925" s="729"/>
      <c r="O925" s="729"/>
    </row>
    <row r="926" spans="3:15">
      <c r="C926" s="720">
        <f>IF(D898="","-",+C925+1)</f>
        <v>2035</v>
      </c>
      <c r="D926" s="673">
        <f t="shared" si="55"/>
        <v>2140607.9943181803</v>
      </c>
      <c r="E926" s="726">
        <f t="shared" si="59"/>
        <v>94092.659090909088</v>
      </c>
      <c r="F926" s="673">
        <f t="shared" si="54"/>
        <v>2046515.3352272711</v>
      </c>
      <c r="G926" s="1263">
        <f t="shared" si="56"/>
        <v>415271.26838989323</v>
      </c>
      <c r="H926" s="1266">
        <f t="shared" si="57"/>
        <v>415271.26838989323</v>
      </c>
      <c r="I926" s="724">
        <f t="shared" si="58"/>
        <v>0</v>
      </c>
      <c r="J926" s="724"/>
      <c r="K926" s="869"/>
      <c r="L926" s="729"/>
      <c r="M926" s="869"/>
      <c r="N926" s="729"/>
      <c r="O926" s="729"/>
    </row>
    <row r="927" spans="3:15">
      <c r="C927" s="720">
        <f>IF(D898="","-",+C926+1)</f>
        <v>2036</v>
      </c>
      <c r="D927" s="673">
        <f t="shared" si="55"/>
        <v>2046515.3352272711</v>
      </c>
      <c r="E927" s="726">
        <f t="shared" si="59"/>
        <v>94092.659090909088</v>
      </c>
      <c r="F927" s="673">
        <f t="shared" si="54"/>
        <v>1952422.6761363619</v>
      </c>
      <c r="G927" s="1263">
        <f t="shared" si="56"/>
        <v>400836.2747135344</v>
      </c>
      <c r="H927" s="1266">
        <f t="shared" si="57"/>
        <v>400836.2747135344</v>
      </c>
      <c r="I927" s="724">
        <f t="shared" si="58"/>
        <v>0</v>
      </c>
      <c r="J927" s="724"/>
      <c r="K927" s="869"/>
      <c r="L927" s="729"/>
      <c r="M927" s="869"/>
      <c r="N927" s="729"/>
      <c r="O927" s="729"/>
    </row>
    <row r="928" spans="3:15">
      <c r="C928" s="720">
        <f>IF(D898="","-",+C927+1)</f>
        <v>2037</v>
      </c>
      <c r="D928" s="673">
        <f t="shared" si="55"/>
        <v>1952422.6761363619</v>
      </c>
      <c r="E928" s="726">
        <f t="shared" si="59"/>
        <v>94092.659090909088</v>
      </c>
      <c r="F928" s="673">
        <f t="shared" si="54"/>
        <v>1858330.0170454527</v>
      </c>
      <c r="G928" s="1263">
        <f t="shared" si="56"/>
        <v>386401.28103717545</v>
      </c>
      <c r="H928" s="1266">
        <f t="shared" si="57"/>
        <v>386401.28103717545</v>
      </c>
      <c r="I928" s="724">
        <f t="shared" si="58"/>
        <v>0</v>
      </c>
      <c r="J928" s="724"/>
      <c r="K928" s="869"/>
      <c r="L928" s="729"/>
      <c r="M928" s="869"/>
      <c r="N928" s="729"/>
      <c r="O928" s="729"/>
    </row>
    <row r="929" spans="3:15">
      <c r="C929" s="720">
        <f>IF(D898="","-",+C928+1)</f>
        <v>2038</v>
      </c>
      <c r="D929" s="673">
        <f t="shared" si="55"/>
        <v>1858330.0170454527</v>
      </c>
      <c r="E929" s="726">
        <f t="shared" si="59"/>
        <v>94092.659090909088</v>
      </c>
      <c r="F929" s="673">
        <f t="shared" si="54"/>
        <v>1764237.3579545435</v>
      </c>
      <c r="G929" s="1263">
        <f t="shared" si="56"/>
        <v>371966.28736081661</v>
      </c>
      <c r="H929" s="1266">
        <f t="shared" si="57"/>
        <v>371966.28736081661</v>
      </c>
      <c r="I929" s="724">
        <f t="shared" si="58"/>
        <v>0</v>
      </c>
      <c r="J929" s="724"/>
      <c r="K929" s="869"/>
      <c r="L929" s="729"/>
      <c r="M929" s="869"/>
      <c r="N929" s="729"/>
      <c r="O929" s="729"/>
    </row>
    <row r="930" spans="3:15">
      <c r="C930" s="720">
        <f>IF(D898="","-",+C929+1)</f>
        <v>2039</v>
      </c>
      <c r="D930" s="673">
        <f t="shared" si="55"/>
        <v>1764237.3579545435</v>
      </c>
      <c r="E930" s="726">
        <f t="shared" si="59"/>
        <v>94092.659090909088</v>
      </c>
      <c r="F930" s="673">
        <f t="shared" si="54"/>
        <v>1670144.6988636344</v>
      </c>
      <c r="G930" s="1263">
        <f t="shared" si="56"/>
        <v>357531.29368445778</v>
      </c>
      <c r="H930" s="1266">
        <f t="shared" si="57"/>
        <v>357531.29368445778</v>
      </c>
      <c r="I930" s="724">
        <f t="shared" si="58"/>
        <v>0</v>
      </c>
      <c r="J930" s="724"/>
      <c r="K930" s="869"/>
      <c r="L930" s="729"/>
      <c r="M930" s="869"/>
      <c r="N930" s="729"/>
      <c r="O930" s="729"/>
    </row>
    <row r="931" spans="3:15">
      <c r="C931" s="720">
        <f>IF(D898="","-",+C930+1)</f>
        <v>2040</v>
      </c>
      <c r="D931" s="673">
        <f t="shared" si="55"/>
        <v>1670144.6988636344</v>
      </c>
      <c r="E931" s="726">
        <f t="shared" si="59"/>
        <v>94092.659090909088</v>
      </c>
      <c r="F931" s="673">
        <f t="shared" si="54"/>
        <v>1576052.0397727252</v>
      </c>
      <c r="G931" s="1263">
        <f t="shared" si="56"/>
        <v>343096.30000809894</v>
      </c>
      <c r="H931" s="1266">
        <f t="shared" si="57"/>
        <v>343096.30000809894</v>
      </c>
      <c r="I931" s="724">
        <f t="shared" si="58"/>
        <v>0</v>
      </c>
      <c r="J931" s="724"/>
      <c r="K931" s="869"/>
      <c r="L931" s="729"/>
      <c r="M931" s="869"/>
      <c r="N931" s="729"/>
      <c r="O931" s="729"/>
    </row>
    <row r="932" spans="3:15">
      <c r="C932" s="720">
        <f>IF(D898="","-",+C931+1)</f>
        <v>2041</v>
      </c>
      <c r="D932" s="673">
        <f t="shared" si="55"/>
        <v>1576052.0397727252</v>
      </c>
      <c r="E932" s="726">
        <f t="shared" si="59"/>
        <v>94092.659090909088</v>
      </c>
      <c r="F932" s="673">
        <f t="shared" si="54"/>
        <v>1481959.380681816</v>
      </c>
      <c r="G932" s="1264">
        <f t="shared" si="56"/>
        <v>328661.30633174005</v>
      </c>
      <c r="H932" s="1266">
        <f t="shared" si="57"/>
        <v>328661.30633174005</v>
      </c>
      <c r="I932" s="724">
        <f t="shared" si="58"/>
        <v>0</v>
      </c>
      <c r="J932" s="724"/>
      <c r="K932" s="869"/>
      <c r="L932" s="729"/>
      <c r="M932" s="869"/>
      <c r="N932" s="729"/>
      <c r="O932" s="729"/>
    </row>
    <row r="933" spans="3:15">
      <c r="C933" s="720">
        <f>IF(D898="","-",+C932+1)</f>
        <v>2042</v>
      </c>
      <c r="D933" s="673">
        <f t="shared" si="55"/>
        <v>1481959.380681816</v>
      </c>
      <c r="E933" s="726">
        <f t="shared" si="59"/>
        <v>94092.659090909088</v>
      </c>
      <c r="F933" s="673">
        <f t="shared" si="54"/>
        <v>1387866.7215909068</v>
      </c>
      <c r="G933" s="1263">
        <f t="shared" si="56"/>
        <v>314226.31265538116</v>
      </c>
      <c r="H933" s="1266">
        <f t="shared" si="57"/>
        <v>314226.31265538116</v>
      </c>
      <c r="I933" s="724">
        <f t="shared" si="58"/>
        <v>0</v>
      </c>
      <c r="J933" s="724"/>
      <c r="K933" s="869"/>
      <c r="L933" s="729"/>
      <c r="M933" s="869"/>
      <c r="N933" s="729"/>
      <c r="O933" s="729"/>
    </row>
    <row r="934" spans="3:15">
      <c r="C934" s="720">
        <f>IF(D898="","-",+C933+1)</f>
        <v>2043</v>
      </c>
      <c r="D934" s="673">
        <f t="shared" si="55"/>
        <v>1387866.7215909068</v>
      </c>
      <c r="E934" s="726">
        <f t="shared" si="59"/>
        <v>94092.659090909088</v>
      </c>
      <c r="F934" s="673">
        <f t="shared" si="54"/>
        <v>1293774.0624999977</v>
      </c>
      <c r="G934" s="1263">
        <f t="shared" si="56"/>
        <v>299791.31897902233</v>
      </c>
      <c r="H934" s="1266">
        <f t="shared" si="57"/>
        <v>299791.31897902233</v>
      </c>
      <c r="I934" s="724">
        <f t="shared" si="58"/>
        <v>0</v>
      </c>
      <c r="J934" s="724"/>
      <c r="K934" s="869"/>
      <c r="L934" s="729"/>
      <c r="M934" s="869"/>
      <c r="N934" s="729"/>
      <c r="O934" s="729"/>
    </row>
    <row r="935" spans="3:15">
      <c r="C935" s="720">
        <f>IF(D898="","-",+C934+1)</f>
        <v>2044</v>
      </c>
      <c r="D935" s="673">
        <f t="shared" si="55"/>
        <v>1293774.0624999977</v>
      </c>
      <c r="E935" s="726">
        <f t="shared" si="59"/>
        <v>94092.659090909088</v>
      </c>
      <c r="F935" s="673">
        <f t="shared" si="54"/>
        <v>1199681.4034090885</v>
      </c>
      <c r="G935" s="1263">
        <f t="shared" si="56"/>
        <v>285356.32530266349</v>
      </c>
      <c r="H935" s="1266">
        <f t="shared" si="57"/>
        <v>285356.32530266349</v>
      </c>
      <c r="I935" s="724">
        <f t="shared" si="58"/>
        <v>0</v>
      </c>
      <c r="J935" s="724"/>
      <c r="K935" s="869"/>
      <c r="L935" s="729"/>
      <c r="M935" s="869"/>
      <c r="N935" s="729"/>
      <c r="O935" s="729"/>
    </row>
    <row r="936" spans="3:15">
      <c r="C936" s="720">
        <f>IF(D898="","-",+C935+1)</f>
        <v>2045</v>
      </c>
      <c r="D936" s="673">
        <f t="shared" si="55"/>
        <v>1199681.4034090885</v>
      </c>
      <c r="E936" s="726">
        <f t="shared" si="59"/>
        <v>94092.659090909088</v>
      </c>
      <c r="F936" s="673">
        <f t="shared" si="54"/>
        <v>1105588.7443181793</v>
      </c>
      <c r="G936" s="1263">
        <f t="shared" si="56"/>
        <v>270921.3316263046</v>
      </c>
      <c r="H936" s="1266">
        <f t="shared" si="57"/>
        <v>270921.3316263046</v>
      </c>
      <c r="I936" s="724">
        <f t="shared" si="58"/>
        <v>0</v>
      </c>
      <c r="J936" s="724"/>
      <c r="K936" s="869"/>
      <c r="L936" s="729"/>
      <c r="M936" s="869"/>
      <c r="N936" s="729"/>
      <c r="O936" s="729"/>
    </row>
    <row r="937" spans="3:15">
      <c r="C937" s="720">
        <f>IF(D898="","-",+C936+1)</f>
        <v>2046</v>
      </c>
      <c r="D937" s="673">
        <f t="shared" si="55"/>
        <v>1105588.7443181793</v>
      </c>
      <c r="E937" s="726">
        <f t="shared" si="59"/>
        <v>94092.659090909088</v>
      </c>
      <c r="F937" s="673">
        <f t="shared" si="54"/>
        <v>1011496.0852272703</v>
      </c>
      <c r="G937" s="1263">
        <f t="shared" si="56"/>
        <v>256486.33794994574</v>
      </c>
      <c r="H937" s="1266">
        <f t="shared" si="57"/>
        <v>256486.33794994574</v>
      </c>
      <c r="I937" s="724">
        <f t="shared" si="58"/>
        <v>0</v>
      </c>
      <c r="J937" s="724"/>
      <c r="K937" s="869"/>
      <c r="L937" s="729"/>
      <c r="M937" s="869"/>
      <c r="N937" s="729"/>
      <c r="O937" s="729"/>
    </row>
    <row r="938" spans="3:15">
      <c r="C938" s="720">
        <f>IF(D898="","-",+C937+1)</f>
        <v>2047</v>
      </c>
      <c r="D938" s="673">
        <f t="shared" si="55"/>
        <v>1011496.0852272703</v>
      </c>
      <c r="E938" s="726">
        <f t="shared" si="59"/>
        <v>94092.659090909088</v>
      </c>
      <c r="F938" s="673">
        <f t="shared" si="54"/>
        <v>917403.4261363612</v>
      </c>
      <c r="G938" s="1263">
        <f t="shared" si="56"/>
        <v>242051.3442735869</v>
      </c>
      <c r="H938" s="1266">
        <f t="shared" si="57"/>
        <v>242051.3442735869</v>
      </c>
      <c r="I938" s="724">
        <f t="shared" si="58"/>
        <v>0</v>
      </c>
      <c r="J938" s="724"/>
      <c r="K938" s="869"/>
      <c r="L938" s="729"/>
      <c r="M938" s="869"/>
      <c r="N938" s="729"/>
      <c r="O938" s="729"/>
    </row>
    <row r="939" spans="3:15">
      <c r="C939" s="720">
        <f>IF(D898="","-",+C938+1)</f>
        <v>2048</v>
      </c>
      <c r="D939" s="673">
        <f t="shared" si="55"/>
        <v>917403.4261363612</v>
      </c>
      <c r="E939" s="726">
        <f t="shared" si="59"/>
        <v>94092.659090909088</v>
      </c>
      <c r="F939" s="673">
        <f t="shared" si="54"/>
        <v>823310.76704545214</v>
      </c>
      <c r="G939" s="1263">
        <f t="shared" si="56"/>
        <v>227616.35059722804</v>
      </c>
      <c r="H939" s="1266">
        <f t="shared" si="57"/>
        <v>227616.35059722804</v>
      </c>
      <c r="I939" s="724">
        <f t="shared" si="58"/>
        <v>0</v>
      </c>
      <c r="J939" s="724"/>
      <c r="K939" s="869"/>
      <c r="L939" s="729"/>
      <c r="M939" s="869"/>
      <c r="N939" s="729"/>
      <c r="O939" s="729"/>
    </row>
    <row r="940" spans="3:15">
      <c r="C940" s="720">
        <f>IF(D898="","-",+C939+1)</f>
        <v>2049</v>
      </c>
      <c r="D940" s="673">
        <f t="shared" si="55"/>
        <v>823310.76704545214</v>
      </c>
      <c r="E940" s="726">
        <f t="shared" si="59"/>
        <v>94092.659090909088</v>
      </c>
      <c r="F940" s="673">
        <f t="shared" si="54"/>
        <v>729218.10795454308</v>
      </c>
      <c r="G940" s="1263">
        <f t="shared" si="56"/>
        <v>213181.35692086921</v>
      </c>
      <c r="H940" s="1266">
        <f t="shared" si="57"/>
        <v>213181.35692086921</v>
      </c>
      <c r="I940" s="724">
        <f t="shared" si="58"/>
        <v>0</v>
      </c>
      <c r="J940" s="724"/>
      <c r="K940" s="869"/>
      <c r="L940" s="729"/>
      <c r="M940" s="869"/>
      <c r="N940" s="729"/>
      <c r="O940" s="729"/>
    </row>
    <row r="941" spans="3:15">
      <c r="C941" s="720">
        <f>IF(D898="","-",+C940+1)</f>
        <v>2050</v>
      </c>
      <c r="D941" s="673">
        <f t="shared" si="55"/>
        <v>729218.10795454308</v>
      </c>
      <c r="E941" s="726">
        <f t="shared" si="59"/>
        <v>94092.659090909088</v>
      </c>
      <c r="F941" s="673">
        <f t="shared" si="54"/>
        <v>635125.44886363402</v>
      </c>
      <c r="G941" s="1263">
        <f t="shared" si="56"/>
        <v>198746.36324451037</v>
      </c>
      <c r="H941" s="1266">
        <f t="shared" si="57"/>
        <v>198746.36324451037</v>
      </c>
      <c r="I941" s="724">
        <f t="shared" si="58"/>
        <v>0</v>
      </c>
      <c r="J941" s="724"/>
      <c r="K941" s="869"/>
      <c r="L941" s="729"/>
      <c r="M941" s="869"/>
      <c r="N941" s="729"/>
      <c r="O941" s="729"/>
    </row>
    <row r="942" spans="3:15">
      <c r="C942" s="720">
        <f>IF(D898="","-",+C941+1)</f>
        <v>2051</v>
      </c>
      <c r="D942" s="673">
        <f t="shared" si="55"/>
        <v>635125.44886363402</v>
      </c>
      <c r="E942" s="726">
        <f t="shared" si="59"/>
        <v>94092.659090909088</v>
      </c>
      <c r="F942" s="673">
        <f t="shared" si="54"/>
        <v>541032.78977272497</v>
      </c>
      <c r="G942" s="1263">
        <f t="shared" si="56"/>
        <v>184311.36956815154</v>
      </c>
      <c r="H942" s="1266">
        <f t="shared" si="57"/>
        <v>184311.36956815154</v>
      </c>
      <c r="I942" s="724">
        <f t="shared" si="58"/>
        <v>0</v>
      </c>
      <c r="J942" s="724"/>
      <c r="K942" s="869"/>
      <c r="L942" s="729"/>
      <c r="M942" s="869"/>
      <c r="N942" s="729"/>
      <c r="O942" s="729"/>
    </row>
    <row r="943" spans="3:15">
      <c r="C943" s="720">
        <f>IF(D898="","-",+C942+1)</f>
        <v>2052</v>
      </c>
      <c r="D943" s="673">
        <f t="shared" si="55"/>
        <v>541032.78977272497</v>
      </c>
      <c r="E943" s="726">
        <f t="shared" si="59"/>
        <v>94092.659090909088</v>
      </c>
      <c r="F943" s="673">
        <f t="shared" si="54"/>
        <v>446940.13068181591</v>
      </c>
      <c r="G943" s="1263">
        <f t="shared" si="56"/>
        <v>169876.3758917927</v>
      </c>
      <c r="H943" s="1266">
        <f t="shared" si="57"/>
        <v>169876.3758917927</v>
      </c>
      <c r="I943" s="724">
        <f t="shared" si="58"/>
        <v>0</v>
      </c>
      <c r="J943" s="724"/>
      <c r="K943" s="869"/>
      <c r="L943" s="729"/>
      <c r="M943" s="869"/>
      <c r="N943" s="729"/>
      <c r="O943" s="729"/>
    </row>
    <row r="944" spans="3:15">
      <c r="C944" s="720">
        <f>IF(D898="","-",+C943+1)</f>
        <v>2053</v>
      </c>
      <c r="D944" s="673">
        <f t="shared" si="55"/>
        <v>446940.13068181591</v>
      </c>
      <c r="E944" s="726">
        <f t="shared" si="59"/>
        <v>94092.659090909088</v>
      </c>
      <c r="F944" s="673">
        <f t="shared" si="54"/>
        <v>352847.47159090685</v>
      </c>
      <c r="G944" s="1263">
        <f t="shared" si="56"/>
        <v>155441.38221543384</v>
      </c>
      <c r="H944" s="1266">
        <f t="shared" si="57"/>
        <v>155441.38221543384</v>
      </c>
      <c r="I944" s="724">
        <f t="shared" si="58"/>
        <v>0</v>
      </c>
      <c r="J944" s="724"/>
      <c r="K944" s="869"/>
      <c r="L944" s="729"/>
      <c r="M944" s="869"/>
      <c r="N944" s="729"/>
      <c r="O944" s="729"/>
    </row>
    <row r="945" spans="3:15">
      <c r="C945" s="720">
        <f>IF(D898="","-",+C944+1)</f>
        <v>2054</v>
      </c>
      <c r="D945" s="673">
        <f t="shared" si="55"/>
        <v>352847.47159090685</v>
      </c>
      <c r="E945" s="726">
        <f t="shared" si="59"/>
        <v>94092.659090909088</v>
      </c>
      <c r="F945" s="673">
        <f t="shared" si="54"/>
        <v>258754.81249999776</v>
      </c>
      <c r="G945" s="1263">
        <f t="shared" si="56"/>
        <v>141006.38853907501</v>
      </c>
      <c r="H945" s="1266">
        <f t="shared" si="57"/>
        <v>141006.38853907501</v>
      </c>
      <c r="I945" s="724">
        <f t="shared" si="58"/>
        <v>0</v>
      </c>
      <c r="J945" s="724"/>
      <c r="K945" s="869"/>
      <c r="L945" s="729"/>
      <c r="M945" s="869"/>
      <c r="N945" s="729"/>
      <c r="O945" s="729"/>
    </row>
    <row r="946" spans="3:15">
      <c r="C946" s="720">
        <f>IF(D898="","-",+C945+1)</f>
        <v>2055</v>
      </c>
      <c r="D946" s="673">
        <f t="shared" si="55"/>
        <v>258754.81249999776</v>
      </c>
      <c r="E946" s="726">
        <f t="shared" si="59"/>
        <v>94092.659090909088</v>
      </c>
      <c r="F946" s="673">
        <f t="shared" si="54"/>
        <v>164662.15340908867</v>
      </c>
      <c r="G946" s="1263">
        <f t="shared" si="56"/>
        <v>126571.39486271614</v>
      </c>
      <c r="H946" s="1266">
        <f t="shared" si="57"/>
        <v>126571.39486271614</v>
      </c>
      <c r="I946" s="724">
        <f t="shared" si="58"/>
        <v>0</v>
      </c>
      <c r="J946" s="724"/>
      <c r="K946" s="869"/>
      <c r="L946" s="729"/>
      <c r="M946" s="869"/>
      <c r="N946" s="729"/>
      <c r="O946" s="729"/>
    </row>
    <row r="947" spans="3:15">
      <c r="C947" s="720">
        <f>IF(D898="","-",+C946+1)</f>
        <v>2056</v>
      </c>
      <c r="D947" s="673">
        <f t="shared" si="55"/>
        <v>164662.15340908867</v>
      </c>
      <c r="E947" s="726">
        <f t="shared" si="59"/>
        <v>94092.659090909088</v>
      </c>
      <c r="F947" s="673">
        <f t="shared" si="54"/>
        <v>70569.494318179582</v>
      </c>
      <c r="G947" s="1263">
        <f t="shared" si="56"/>
        <v>112136.40118635731</v>
      </c>
      <c r="H947" s="1266">
        <f t="shared" si="57"/>
        <v>112136.40118635731</v>
      </c>
      <c r="I947" s="724">
        <f t="shared" si="58"/>
        <v>0</v>
      </c>
      <c r="J947" s="724"/>
      <c r="K947" s="869"/>
      <c r="L947" s="729"/>
      <c r="M947" s="869"/>
      <c r="N947" s="729"/>
      <c r="O947" s="729"/>
    </row>
    <row r="948" spans="3:15">
      <c r="C948" s="720">
        <f>IF(D898="","-",+C947+1)</f>
        <v>2057</v>
      </c>
      <c r="D948" s="673">
        <f t="shared" si="55"/>
        <v>70569.494318179582</v>
      </c>
      <c r="E948" s="726">
        <f t="shared" si="59"/>
        <v>70569.494318179582</v>
      </c>
      <c r="F948" s="673">
        <f t="shared" si="54"/>
        <v>0</v>
      </c>
      <c r="G948" s="1263">
        <f t="shared" si="56"/>
        <v>75982.616946813985</v>
      </c>
      <c r="H948" s="1266">
        <f t="shared" si="57"/>
        <v>75982.616946813985</v>
      </c>
      <c r="I948" s="724">
        <f t="shared" si="58"/>
        <v>0</v>
      </c>
      <c r="J948" s="724"/>
      <c r="K948" s="869"/>
      <c r="L948" s="729"/>
      <c r="M948" s="869"/>
      <c r="N948" s="729"/>
      <c r="O948" s="729"/>
    </row>
    <row r="949" spans="3:15">
      <c r="C949" s="720">
        <f>IF(D898="","-",+C948+1)</f>
        <v>2058</v>
      </c>
      <c r="D949" s="673">
        <f t="shared" si="55"/>
        <v>0</v>
      </c>
      <c r="E949" s="726">
        <f t="shared" si="59"/>
        <v>0</v>
      </c>
      <c r="F949" s="673">
        <f t="shared" si="54"/>
        <v>0</v>
      </c>
      <c r="G949" s="1263">
        <f t="shared" si="56"/>
        <v>0</v>
      </c>
      <c r="H949" s="1266">
        <f t="shared" si="57"/>
        <v>0</v>
      </c>
      <c r="I949" s="724">
        <f t="shared" si="58"/>
        <v>0</v>
      </c>
      <c r="J949" s="724"/>
      <c r="K949" s="869"/>
      <c r="L949" s="729"/>
      <c r="M949" s="869"/>
      <c r="N949" s="729"/>
      <c r="O949" s="729"/>
    </row>
    <row r="950" spans="3:15">
      <c r="C950" s="720">
        <f>IF(D898="","-",+C949+1)</f>
        <v>2059</v>
      </c>
      <c r="D950" s="673">
        <f t="shared" si="55"/>
        <v>0</v>
      </c>
      <c r="E950" s="726">
        <f t="shared" si="59"/>
        <v>0</v>
      </c>
      <c r="F950" s="673">
        <f t="shared" si="54"/>
        <v>0</v>
      </c>
      <c r="G950" s="1263">
        <f t="shared" si="56"/>
        <v>0</v>
      </c>
      <c r="H950" s="1266">
        <f t="shared" si="57"/>
        <v>0</v>
      </c>
      <c r="I950" s="724">
        <f t="shared" si="58"/>
        <v>0</v>
      </c>
      <c r="J950" s="724"/>
      <c r="K950" s="869"/>
      <c r="L950" s="729"/>
      <c r="M950" s="869"/>
      <c r="N950" s="729"/>
      <c r="O950" s="729"/>
    </row>
    <row r="951" spans="3:15">
      <c r="C951" s="720">
        <f>IF(D898="","-",+C950+1)</f>
        <v>2060</v>
      </c>
      <c r="D951" s="673">
        <f t="shared" si="55"/>
        <v>0</v>
      </c>
      <c r="E951" s="726">
        <f t="shared" si="59"/>
        <v>0</v>
      </c>
      <c r="F951" s="673">
        <f t="shared" si="54"/>
        <v>0</v>
      </c>
      <c r="G951" s="1263">
        <f t="shared" si="56"/>
        <v>0</v>
      </c>
      <c r="H951" s="1266">
        <f t="shared" si="57"/>
        <v>0</v>
      </c>
      <c r="I951" s="724">
        <f t="shared" si="58"/>
        <v>0</v>
      </c>
      <c r="J951" s="724"/>
      <c r="K951" s="869"/>
      <c r="L951" s="729"/>
      <c r="M951" s="869"/>
      <c r="N951" s="729"/>
      <c r="O951" s="729"/>
    </row>
    <row r="952" spans="3:15">
      <c r="C952" s="720">
        <f>IF(D898="","-",+C951+1)</f>
        <v>2061</v>
      </c>
      <c r="D952" s="673">
        <f t="shared" si="55"/>
        <v>0</v>
      </c>
      <c r="E952" s="726">
        <f t="shared" si="59"/>
        <v>0</v>
      </c>
      <c r="F952" s="673">
        <f t="shared" si="54"/>
        <v>0</v>
      </c>
      <c r="G952" s="1263">
        <f t="shared" si="56"/>
        <v>0</v>
      </c>
      <c r="H952" s="1266">
        <f t="shared" si="57"/>
        <v>0</v>
      </c>
      <c r="I952" s="724">
        <f t="shared" si="58"/>
        <v>0</v>
      </c>
      <c r="J952" s="724"/>
      <c r="K952" s="869"/>
      <c r="L952" s="729"/>
      <c r="M952" s="869"/>
      <c r="N952" s="729"/>
      <c r="O952" s="729"/>
    </row>
    <row r="953" spans="3:15">
      <c r="C953" s="720">
        <f>IF(D898="","-",+C952+1)</f>
        <v>2062</v>
      </c>
      <c r="D953" s="673">
        <f t="shared" si="55"/>
        <v>0</v>
      </c>
      <c r="E953" s="726">
        <f t="shared" si="59"/>
        <v>0</v>
      </c>
      <c r="F953" s="673">
        <f t="shared" si="54"/>
        <v>0</v>
      </c>
      <c r="G953" s="1263">
        <f t="shared" si="56"/>
        <v>0</v>
      </c>
      <c r="H953" s="1266">
        <f t="shared" si="57"/>
        <v>0</v>
      </c>
      <c r="I953" s="724">
        <f t="shared" si="58"/>
        <v>0</v>
      </c>
      <c r="J953" s="724"/>
      <c r="K953" s="869"/>
      <c r="L953" s="729"/>
      <c r="M953" s="869"/>
      <c r="N953" s="729"/>
      <c r="O953" s="729"/>
    </row>
    <row r="954" spans="3:15">
      <c r="C954" s="720">
        <f>IF(D898="","-",+C953+1)</f>
        <v>2063</v>
      </c>
      <c r="D954" s="673">
        <f t="shared" si="55"/>
        <v>0</v>
      </c>
      <c r="E954" s="726">
        <f t="shared" si="59"/>
        <v>0</v>
      </c>
      <c r="F954" s="673">
        <f t="shared" si="54"/>
        <v>0</v>
      </c>
      <c r="G954" s="1263">
        <f t="shared" si="56"/>
        <v>0</v>
      </c>
      <c r="H954" s="1266">
        <f t="shared" si="57"/>
        <v>0</v>
      </c>
      <c r="I954" s="724">
        <f t="shared" si="58"/>
        <v>0</v>
      </c>
      <c r="J954" s="724"/>
      <c r="K954" s="869"/>
      <c r="L954" s="729"/>
      <c r="M954" s="869"/>
      <c r="N954" s="729"/>
      <c r="O954" s="729"/>
    </row>
    <row r="955" spans="3:15">
      <c r="C955" s="720">
        <f>IF(D898="","-",+C954+1)</f>
        <v>2064</v>
      </c>
      <c r="D955" s="673">
        <f t="shared" si="55"/>
        <v>0</v>
      </c>
      <c r="E955" s="726">
        <f t="shared" si="59"/>
        <v>0</v>
      </c>
      <c r="F955" s="673">
        <f t="shared" si="54"/>
        <v>0</v>
      </c>
      <c r="G955" s="1263">
        <f t="shared" si="56"/>
        <v>0</v>
      </c>
      <c r="H955" s="1266">
        <f t="shared" si="57"/>
        <v>0</v>
      </c>
      <c r="I955" s="724">
        <f t="shared" si="58"/>
        <v>0</v>
      </c>
      <c r="J955" s="724"/>
      <c r="K955" s="869"/>
      <c r="L955" s="729"/>
      <c r="M955" s="869"/>
      <c r="N955" s="729"/>
      <c r="O955" s="729"/>
    </row>
    <row r="956" spans="3:15">
      <c r="C956" s="720">
        <f>IF(D898="","-",+C955+1)</f>
        <v>2065</v>
      </c>
      <c r="D956" s="673">
        <f t="shared" si="55"/>
        <v>0</v>
      </c>
      <c r="E956" s="726">
        <f t="shared" si="59"/>
        <v>0</v>
      </c>
      <c r="F956" s="673">
        <f t="shared" si="54"/>
        <v>0</v>
      </c>
      <c r="G956" s="1263">
        <f t="shared" si="56"/>
        <v>0</v>
      </c>
      <c r="H956" s="1266">
        <f t="shared" si="57"/>
        <v>0</v>
      </c>
      <c r="I956" s="724">
        <f t="shared" si="58"/>
        <v>0</v>
      </c>
      <c r="J956" s="724"/>
      <c r="K956" s="869"/>
      <c r="L956" s="729"/>
      <c r="M956" s="869"/>
      <c r="N956" s="729"/>
      <c r="O956" s="729"/>
    </row>
    <row r="957" spans="3:15">
      <c r="C957" s="720">
        <f>IF(D898="","-",+C956+1)</f>
        <v>2066</v>
      </c>
      <c r="D957" s="673">
        <f t="shared" si="55"/>
        <v>0</v>
      </c>
      <c r="E957" s="726">
        <f t="shared" si="59"/>
        <v>0</v>
      </c>
      <c r="F957" s="673">
        <f t="shared" si="54"/>
        <v>0</v>
      </c>
      <c r="G957" s="1263">
        <f t="shared" si="56"/>
        <v>0</v>
      </c>
      <c r="H957" s="1266">
        <f t="shared" si="57"/>
        <v>0</v>
      </c>
      <c r="I957" s="724">
        <f t="shared" si="58"/>
        <v>0</v>
      </c>
      <c r="J957" s="724"/>
      <c r="K957" s="869"/>
      <c r="L957" s="729"/>
      <c r="M957" s="869"/>
      <c r="N957" s="729"/>
      <c r="O957" s="729"/>
    </row>
    <row r="958" spans="3:15">
      <c r="C958" s="720">
        <f>IF(D898="","-",+C957+1)</f>
        <v>2067</v>
      </c>
      <c r="D958" s="673">
        <f t="shared" si="55"/>
        <v>0</v>
      </c>
      <c r="E958" s="726">
        <f t="shared" si="59"/>
        <v>0</v>
      </c>
      <c r="F958" s="673">
        <f t="shared" si="54"/>
        <v>0</v>
      </c>
      <c r="G958" s="1263">
        <f t="shared" si="56"/>
        <v>0</v>
      </c>
      <c r="H958" s="1266">
        <f t="shared" si="57"/>
        <v>0</v>
      </c>
      <c r="I958" s="724">
        <f t="shared" si="58"/>
        <v>0</v>
      </c>
      <c r="J958" s="724"/>
      <c r="K958" s="869"/>
      <c r="L958" s="729"/>
      <c r="M958" s="869"/>
      <c r="N958" s="729"/>
      <c r="O958" s="729"/>
    </row>
    <row r="959" spans="3:15">
      <c r="C959" s="720">
        <f>IF(D898="","-",+C958+1)</f>
        <v>2068</v>
      </c>
      <c r="D959" s="673">
        <f t="shared" si="55"/>
        <v>0</v>
      </c>
      <c r="E959" s="726">
        <f t="shared" si="59"/>
        <v>0</v>
      </c>
      <c r="F959" s="673">
        <f t="shared" si="54"/>
        <v>0</v>
      </c>
      <c r="G959" s="1263">
        <f t="shared" si="56"/>
        <v>0</v>
      </c>
      <c r="H959" s="1266">
        <f t="shared" si="57"/>
        <v>0</v>
      </c>
      <c r="I959" s="724">
        <f t="shared" si="58"/>
        <v>0</v>
      </c>
      <c r="J959" s="724"/>
      <c r="K959" s="869"/>
      <c r="L959" s="729"/>
      <c r="M959" s="869"/>
      <c r="N959" s="729"/>
      <c r="O959" s="729"/>
    </row>
    <row r="960" spans="3:15">
      <c r="C960" s="720">
        <f>IF(D898="","-",+C959+1)</f>
        <v>2069</v>
      </c>
      <c r="D960" s="673">
        <f t="shared" si="55"/>
        <v>0</v>
      </c>
      <c r="E960" s="726">
        <f t="shared" si="59"/>
        <v>0</v>
      </c>
      <c r="F960" s="673">
        <f t="shared" si="54"/>
        <v>0</v>
      </c>
      <c r="G960" s="1263">
        <f t="shared" si="56"/>
        <v>0</v>
      </c>
      <c r="H960" s="1266">
        <f t="shared" si="57"/>
        <v>0</v>
      </c>
      <c r="I960" s="724">
        <f t="shared" si="58"/>
        <v>0</v>
      </c>
      <c r="J960" s="724"/>
      <c r="K960" s="869"/>
      <c r="L960" s="729"/>
      <c r="M960" s="869"/>
      <c r="N960" s="729"/>
      <c r="O960" s="729"/>
    </row>
    <row r="961" spans="1:16">
      <c r="C961" s="720">
        <f>IF(D898="","-",+C960+1)</f>
        <v>2070</v>
      </c>
      <c r="D961" s="673">
        <f t="shared" si="55"/>
        <v>0</v>
      </c>
      <c r="E961" s="726">
        <f t="shared" si="59"/>
        <v>0</v>
      </c>
      <c r="F961" s="673">
        <f t="shared" si="54"/>
        <v>0</v>
      </c>
      <c r="G961" s="1263">
        <f t="shared" si="56"/>
        <v>0</v>
      </c>
      <c r="H961" s="1266">
        <f t="shared" si="57"/>
        <v>0</v>
      </c>
      <c r="I961" s="724">
        <f t="shared" si="58"/>
        <v>0</v>
      </c>
      <c r="J961" s="724"/>
      <c r="K961" s="869"/>
      <c r="L961" s="729"/>
      <c r="M961" s="869"/>
      <c r="N961" s="729"/>
      <c r="O961" s="729"/>
    </row>
    <row r="962" spans="1:16">
      <c r="C962" s="720">
        <f>IF(D898="","-",+C961+1)</f>
        <v>2071</v>
      </c>
      <c r="D962" s="673">
        <f t="shared" si="55"/>
        <v>0</v>
      </c>
      <c r="E962" s="726">
        <f t="shared" si="59"/>
        <v>0</v>
      </c>
      <c r="F962" s="673">
        <f t="shared" si="54"/>
        <v>0</v>
      </c>
      <c r="G962" s="1263">
        <f t="shared" si="56"/>
        <v>0</v>
      </c>
      <c r="H962" s="1266">
        <f t="shared" si="57"/>
        <v>0</v>
      </c>
      <c r="I962" s="724">
        <f t="shared" si="58"/>
        <v>0</v>
      </c>
      <c r="J962" s="724"/>
      <c r="K962" s="869"/>
      <c r="L962" s="729"/>
      <c r="M962" s="869"/>
      <c r="N962" s="729"/>
      <c r="O962" s="729"/>
    </row>
    <row r="963" spans="1:16" ht="13.5" thickBot="1">
      <c r="C963" s="730">
        <f>IF(D898="","-",+C962+1)</f>
        <v>2072</v>
      </c>
      <c r="D963" s="731">
        <f t="shared" si="55"/>
        <v>0</v>
      </c>
      <c r="E963" s="732">
        <f t="shared" si="59"/>
        <v>0</v>
      </c>
      <c r="F963" s="731">
        <f t="shared" si="54"/>
        <v>0</v>
      </c>
      <c r="G963" s="1274">
        <f t="shared" si="56"/>
        <v>0</v>
      </c>
      <c r="H963" s="1274">
        <f t="shared" si="57"/>
        <v>0</v>
      </c>
      <c r="I963" s="734">
        <f t="shared" si="58"/>
        <v>0</v>
      </c>
      <c r="J963" s="724"/>
      <c r="K963" s="870"/>
      <c r="L963" s="736"/>
      <c r="M963" s="870"/>
      <c r="N963" s="736"/>
      <c r="O963" s="736"/>
    </row>
    <row r="964" spans="1:16">
      <c r="C964" s="673" t="s">
        <v>288</v>
      </c>
      <c r="D964" s="1242"/>
      <c r="E964" s="673"/>
      <c r="F964" s="1242"/>
      <c r="G964" s="1242">
        <f>SUM(G904:G963)</f>
        <v>18589505.670035206</v>
      </c>
      <c r="H964" s="1242">
        <f>SUM(H904:H963)</f>
        <v>18589505.670035206</v>
      </c>
      <c r="I964" s="1242">
        <f>SUM(I904:I963)</f>
        <v>0</v>
      </c>
      <c r="J964" s="1242"/>
      <c r="K964" s="1242"/>
      <c r="L964" s="1242"/>
      <c r="M964" s="1242"/>
      <c r="N964" s="1242"/>
      <c r="O964" s="542"/>
    </row>
    <row r="965" spans="1:16">
      <c r="D965" s="563"/>
      <c r="E965" s="542"/>
      <c r="F965" s="542"/>
      <c r="G965" s="542"/>
      <c r="H965" s="1241"/>
      <c r="I965" s="1241"/>
      <c r="J965" s="1242"/>
      <c r="K965" s="1241"/>
      <c r="L965" s="1241"/>
      <c r="M965" s="1241"/>
      <c r="N965" s="1241"/>
      <c r="O965" s="542"/>
    </row>
    <row r="966" spans="1:16">
      <c r="C966" s="542" t="s">
        <v>595</v>
      </c>
      <c r="D966" s="563"/>
      <c r="E966" s="542"/>
      <c r="F966" s="542"/>
      <c r="G966" s="542"/>
      <c r="H966" s="1241"/>
      <c r="I966" s="1241"/>
      <c r="J966" s="1242"/>
      <c r="K966" s="1241"/>
      <c r="L966" s="1241"/>
      <c r="M966" s="1241"/>
      <c r="N966" s="1241"/>
      <c r="O966" s="542"/>
    </row>
    <row r="967" spans="1:16">
      <c r="C967" s="542"/>
      <c r="D967" s="563"/>
      <c r="E967" s="542"/>
      <c r="F967" s="542"/>
      <c r="G967" s="542"/>
      <c r="H967" s="1241"/>
      <c r="I967" s="1241"/>
      <c r="J967" s="1242"/>
      <c r="K967" s="1241"/>
      <c r="L967" s="1241"/>
      <c r="M967" s="1241"/>
      <c r="N967" s="1241"/>
      <c r="O967" s="542"/>
    </row>
    <row r="968" spans="1:16">
      <c r="C968" s="684" t="s">
        <v>934</v>
      </c>
      <c r="D968" s="673"/>
      <c r="E968" s="673"/>
      <c r="F968" s="673"/>
      <c r="G968" s="1242"/>
      <c r="H968" s="1242"/>
      <c r="I968" s="674"/>
      <c r="J968" s="674"/>
      <c r="K968" s="674"/>
      <c r="L968" s="674"/>
      <c r="M968" s="674"/>
      <c r="N968" s="674"/>
      <c r="O968" s="542"/>
    </row>
    <row r="969" spans="1:16">
      <c r="C969" s="684" t="s">
        <v>476</v>
      </c>
      <c r="D969" s="673"/>
      <c r="E969" s="673"/>
      <c r="F969" s="673"/>
      <c r="G969" s="1242"/>
      <c r="H969" s="1242"/>
      <c r="I969" s="674"/>
      <c r="J969" s="674"/>
      <c r="K969" s="674"/>
      <c r="L969" s="674"/>
      <c r="M969" s="674"/>
      <c r="N969" s="674"/>
      <c r="O969" s="542"/>
    </row>
    <row r="970" spans="1:16">
      <c r="C970" s="672" t="s">
        <v>289</v>
      </c>
      <c r="D970" s="673"/>
      <c r="E970" s="673"/>
      <c r="F970" s="673"/>
      <c r="G970" s="1242"/>
      <c r="H970" s="1242"/>
      <c r="I970" s="674"/>
      <c r="J970" s="674"/>
      <c r="K970" s="674"/>
      <c r="L970" s="674"/>
      <c r="M970" s="674"/>
      <c r="N970" s="674"/>
      <c r="O970" s="542"/>
    </row>
    <row r="971" spans="1:16">
      <c r="C971" s="672"/>
      <c r="D971" s="673"/>
      <c r="E971" s="673"/>
      <c r="F971" s="673"/>
      <c r="G971" s="1242"/>
      <c r="H971" s="1242"/>
      <c r="I971" s="674"/>
      <c r="J971" s="674"/>
      <c r="K971" s="674"/>
      <c r="L971" s="674"/>
      <c r="M971" s="674"/>
      <c r="N971" s="674"/>
      <c r="O971" s="542"/>
    </row>
    <row r="972" spans="1:16">
      <c r="C972" s="1701" t="s">
        <v>460</v>
      </c>
      <c r="D972" s="1701"/>
      <c r="E972" s="1701"/>
      <c r="F972" s="1701"/>
      <c r="G972" s="1701"/>
      <c r="H972" s="1701"/>
      <c r="I972" s="1701"/>
      <c r="J972" s="1701"/>
      <c r="K972" s="1701"/>
      <c r="L972" s="1701"/>
      <c r="M972" s="1701"/>
      <c r="N972" s="1701"/>
      <c r="O972" s="1701"/>
    </row>
    <row r="973" spans="1:16">
      <c r="C973" s="1701"/>
      <c r="D973" s="1701"/>
      <c r="E973" s="1701"/>
      <c r="F973" s="1701"/>
      <c r="G973" s="1701"/>
      <c r="H973" s="1701"/>
      <c r="I973" s="1701"/>
      <c r="J973" s="1701"/>
      <c r="K973" s="1701"/>
      <c r="L973" s="1701"/>
      <c r="M973" s="1701"/>
      <c r="N973" s="1701"/>
      <c r="O973" s="1701"/>
    </row>
    <row r="974" spans="1:16" ht="20.25">
      <c r="A974" s="675" t="s">
        <v>931</v>
      </c>
      <c r="B974" s="576"/>
      <c r="C974" s="655"/>
      <c r="D974" s="563"/>
      <c r="E974" s="542"/>
      <c r="F974" s="645"/>
      <c r="G974" s="542"/>
      <c r="H974" s="1241"/>
      <c r="K974" s="676"/>
      <c r="L974" s="676"/>
      <c r="M974" s="676"/>
      <c r="N974" s="591" t="str">
        <f>"Page "&amp;SUM(P$6:P974)&amp;" of "</f>
        <v xml:space="preserve">Page 11 of </v>
      </c>
      <c r="O974" s="592">
        <f>COUNT(P$6:P$59579)</f>
        <v>22</v>
      </c>
      <c r="P974" s="542">
        <v>1</v>
      </c>
    </row>
    <row r="975" spans="1:16">
      <c r="B975" s="576"/>
      <c r="C975" s="542"/>
      <c r="D975" s="563"/>
      <c r="E975" s="542"/>
      <c r="F975" s="542"/>
      <c r="G975" s="542"/>
      <c r="H975" s="1241"/>
      <c r="I975" s="542"/>
      <c r="J975" s="588"/>
      <c r="K975" s="542"/>
      <c r="L975" s="542"/>
      <c r="M975" s="542"/>
      <c r="N975" s="542"/>
      <c r="O975" s="542"/>
    </row>
    <row r="976" spans="1:16" ht="18">
      <c r="B976" s="595" t="s">
        <v>174</v>
      </c>
      <c r="C976" s="677" t="s">
        <v>290</v>
      </c>
      <c r="D976" s="563"/>
      <c r="E976" s="542"/>
      <c r="F976" s="542"/>
      <c r="G976" s="542"/>
      <c r="H976" s="1241"/>
      <c r="I976" s="1241"/>
      <c r="J976" s="1242"/>
      <c r="K976" s="1241"/>
      <c r="L976" s="1241"/>
      <c r="M976" s="1241"/>
      <c r="N976" s="1241"/>
      <c r="O976" s="542"/>
    </row>
    <row r="977" spans="1:15" ht="18.75">
      <c r="B977" s="595"/>
      <c r="C977" s="594"/>
      <c r="D977" s="563"/>
      <c r="E977" s="542"/>
      <c r="F977" s="542"/>
      <c r="G977" s="542"/>
      <c r="H977" s="1241"/>
      <c r="I977" s="1241"/>
      <c r="J977" s="1242"/>
      <c r="K977" s="1241"/>
      <c r="L977" s="1241"/>
      <c r="M977" s="1241"/>
      <c r="N977" s="1241"/>
      <c r="O977" s="542"/>
    </row>
    <row r="978" spans="1:15" ht="18.75">
      <c r="B978" s="595"/>
      <c r="C978" s="594" t="s">
        <v>291</v>
      </c>
      <c r="D978" s="563"/>
      <c r="E978" s="542"/>
      <c r="F978" s="542"/>
      <c r="G978" s="542"/>
      <c r="H978" s="1241"/>
      <c r="I978" s="1241"/>
      <c r="J978" s="1242"/>
      <c r="K978" s="1241"/>
      <c r="L978" s="1241"/>
      <c r="M978" s="1241"/>
      <c r="N978" s="1241"/>
      <c r="O978" s="542"/>
    </row>
    <row r="979" spans="1:15" ht="15.75" thickBot="1">
      <c r="C979" s="396"/>
      <c r="D979" s="563"/>
      <c r="E979" s="542"/>
      <c r="F979" s="542"/>
      <c r="G979" s="542"/>
      <c r="H979" s="1241"/>
      <c r="I979" s="1241"/>
      <c r="J979" s="1242"/>
      <c r="K979" s="1241"/>
      <c r="L979" s="1241"/>
      <c r="M979" s="1241"/>
      <c r="N979" s="1241"/>
      <c r="O979" s="542"/>
    </row>
    <row r="980" spans="1:15" ht="15.75">
      <c r="C980" s="596" t="s">
        <v>292</v>
      </c>
      <c r="D980" s="563"/>
      <c r="E980" s="542"/>
      <c r="F980" s="542"/>
      <c r="G980" s="1276"/>
      <c r="H980" s="542" t="s">
        <v>271</v>
      </c>
      <c r="I980" s="542"/>
      <c r="J980" s="588"/>
      <c r="K980" s="678" t="s">
        <v>296</v>
      </c>
      <c r="L980" s="679"/>
      <c r="M980" s="680"/>
      <c r="N980" s="1244">
        <f>VLOOKUP(I986,C993:O1052,5)</f>
        <v>139433.60198955701</v>
      </c>
      <c r="O980" s="542"/>
    </row>
    <row r="981" spans="1:15" ht="15.75">
      <c r="C981" s="596"/>
      <c r="D981" s="563"/>
      <c r="E981" s="542"/>
      <c r="F981" s="542"/>
      <c r="G981" s="542"/>
      <c r="H981" s="1245"/>
      <c r="I981" s="1245"/>
      <c r="J981" s="1246"/>
      <c r="K981" s="683" t="s">
        <v>297</v>
      </c>
      <c r="L981" s="1247"/>
      <c r="M981" s="588"/>
      <c r="N981" s="1248">
        <f>VLOOKUP(I986,C993:O1052,6)</f>
        <v>139433.60198955701</v>
      </c>
      <c r="O981" s="542"/>
    </row>
    <row r="982" spans="1:15" ht="13.5" thickBot="1">
      <c r="C982" s="684" t="s">
        <v>293</v>
      </c>
      <c r="D982" s="1284" t="s">
        <v>944</v>
      </c>
      <c r="E982" s="1281"/>
      <c r="F982" s="1281"/>
      <c r="G982" s="1281"/>
      <c r="H982" s="872"/>
      <c r="I982" s="872"/>
      <c r="J982" s="1242"/>
      <c r="K982" s="1249" t="s">
        <v>450</v>
      </c>
      <c r="L982" s="1250"/>
      <c r="M982" s="1250"/>
      <c r="N982" s="1251">
        <f>+N981-N980</f>
        <v>0</v>
      </c>
      <c r="O982" s="542"/>
    </row>
    <row r="983" spans="1:15">
      <c r="C983" s="686"/>
      <c r="D983" s="687"/>
      <c r="E983" s="671"/>
      <c r="F983" s="671"/>
      <c r="G983" s="688"/>
      <c r="H983" s="1241"/>
      <c r="I983" s="1241"/>
      <c r="J983" s="1242"/>
      <c r="K983" s="1241"/>
      <c r="L983" s="1241"/>
      <c r="M983" s="1241"/>
      <c r="N983" s="1241"/>
      <c r="O983" s="542"/>
    </row>
    <row r="984" spans="1:15" ht="13.5" thickBot="1">
      <c r="C984" s="689"/>
      <c r="D984" s="1252"/>
      <c r="E984" s="688"/>
      <c r="F984" s="688"/>
      <c r="G984" s="688"/>
      <c r="H984" s="688"/>
      <c r="I984" s="688"/>
      <c r="J984" s="691"/>
      <c r="K984" s="688"/>
      <c r="L984" s="688"/>
      <c r="M984" s="688"/>
      <c r="N984" s="688"/>
      <c r="O984" s="576"/>
    </row>
    <row r="985" spans="1:15" ht="13.5" thickBot="1">
      <c r="C985" s="692" t="s">
        <v>294</v>
      </c>
      <c r="D985" s="693"/>
      <c r="E985" s="693"/>
      <c r="F985" s="693"/>
      <c r="G985" s="693"/>
      <c r="H985" s="693"/>
      <c r="I985" s="694"/>
      <c r="J985" s="695"/>
      <c r="K985" s="542"/>
      <c r="L985" s="542"/>
      <c r="M985" s="542"/>
      <c r="N985" s="542"/>
      <c r="O985" s="696"/>
    </row>
    <row r="986" spans="1:15" ht="15">
      <c r="C986" s="697" t="s">
        <v>272</v>
      </c>
      <c r="D986" s="1253">
        <v>850534</v>
      </c>
      <c r="E986" s="655" t="s">
        <v>273</v>
      </c>
      <c r="G986" s="698"/>
      <c r="H986" s="698"/>
      <c r="I986" s="699">
        <v>2018</v>
      </c>
      <c r="J986" s="586"/>
      <c r="K986" s="1702" t="s">
        <v>459</v>
      </c>
      <c r="L986" s="1702"/>
      <c r="M986" s="1702"/>
      <c r="N986" s="1702"/>
      <c r="O986" s="1702"/>
    </row>
    <row r="987" spans="1:15">
      <c r="C987" s="697" t="s">
        <v>275</v>
      </c>
      <c r="D987" s="865">
        <v>2014</v>
      </c>
      <c r="E987" s="697" t="s">
        <v>276</v>
      </c>
      <c r="F987" s="698"/>
      <c r="H987" s="330"/>
      <c r="I987" s="1254">
        <f>IF(G980="",0,$F$15)</f>
        <v>0</v>
      </c>
      <c r="J987" s="700"/>
      <c r="K987" s="1242" t="s">
        <v>459</v>
      </c>
    </row>
    <row r="988" spans="1:15">
      <c r="C988" s="697" t="s">
        <v>277</v>
      </c>
      <c r="D988" s="1253">
        <v>12</v>
      </c>
      <c r="E988" s="697" t="s">
        <v>278</v>
      </c>
      <c r="F988" s="698"/>
      <c r="H988" s="330"/>
      <c r="I988" s="701">
        <f>$G$70</f>
        <v>0.15341253840442806</v>
      </c>
      <c r="J988" s="702"/>
      <c r="K988" s="330" t="str">
        <f>"          INPUT PROJECTED ARR (WITH &amp; WITHOUT INCENTIVES) FROM EACH PRIOR YEAR"</f>
        <v xml:space="preserve">          INPUT PROJECTED ARR (WITH &amp; WITHOUT INCENTIVES) FROM EACH PRIOR YEAR</v>
      </c>
    </row>
    <row r="989" spans="1:15">
      <c r="C989" s="697" t="s">
        <v>279</v>
      </c>
      <c r="D989" s="703">
        <f>G$79</f>
        <v>44</v>
      </c>
      <c r="E989" s="697" t="s">
        <v>280</v>
      </c>
      <c r="F989" s="698"/>
      <c r="H989" s="330"/>
      <c r="I989" s="701">
        <f>IF(G980="",I988,$G$67)</f>
        <v>0.15341253840442806</v>
      </c>
      <c r="J989" s="704"/>
      <c r="K989" s="330" t="s">
        <v>357</v>
      </c>
    </row>
    <row r="990" spans="1:15" ht="13.5" thickBot="1">
      <c r="C990" s="697" t="s">
        <v>281</v>
      </c>
      <c r="D990" s="866" t="s">
        <v>933</v>
      </c>
      <c r="E990" s="705" t="s">
        <v>282</v>
      </c>
      <c r="F990" s="706"/>
      <c r="G990" s="707"/>
      <c r="H990" s="707"/>
      <c r="I990" s="1251">
        <f>IF(D986=0,0,D986/D989)</f>
        <v>19330.31818181818</v>
      </c>
      <c r="J990" s="1242"/>
      <c r="K990" s="1242" t="s">
        <v>363</v>
      </c>
      <c r="L990" s="1242"/>
      <c r="M990" s="1242"/>
      <c r="N990" s="1242"/>
      <c r="O990" s="588"/>
    </row>
    <row r="991" spans="1:15" ht="51">
      <c r="A991" s="529"/>
      <c r="B991" s="1255"/>
      <c r="C991" s="708" t="s">
        <v>272</v>
      </c>
      <c r="D991" s="1256" t="s">
        <v>283</v>
      </c>
      <c r="E991" s="1257" t="s">
        <v>284</v>
      </c>
      <c r="F991" s="1256" t="s">
        <v>285</v>
      </c>
      <c r="G991" s="1257" t="s">
        <v>356</v>
      </c>
      <c r="H991" s="1258" t="s">
        <v>356</v>
      </c>
      <c r="I991" s="708" t="s">
        <v>295</v>
      </c>
      <c r="J991" s="712"/>
      <c r="K991" s="1257" t="s">
        <v>365</v>
      </c>
      <c r="L991" s="1259"/>
      <c r="M991" s="1257" t="s">
        <v>365</v>
      </c>
      <c r="N991" s="1259"/>
      <c r="O991" s="1259"/>
    </row>
    <row r="992" spans="1:15" ht="13.5" thickBot="1">
      <c r="C992" s="714" t="s">
        <v>177</v>
      </c>
      <c r="D992" s="715" t="s">
        <v>178</v>
      </c>
      <c r="E992" s="714" t="s">
        <v>37</v>
      </c>
      <c r="F992" s="715" t="s">
        <v>178</v>
      </c>
      <c r="G992" s="1260" t="s">
        <v>298</v>
      </c>
      <c r="H992" s="1261" t="s">
        <v>300</v>
      </c>
      <c r="I992" s="718" t="s">
        <v>389</v>
      </c>
      <c r="J992" s="719"/>
      <c r="K992" s="1260" t="s">
        <v>287</v>
      </c>
      <c r="L992" s="1262"/>
      <c r="M992" s="1260" t="s">
        <v>300</v>
      </c>
      <c r="N992" s="1262"/>
      <c r="O992" s="1262"/>
    </row>
    <row r="993" spans="3:15">
      <c r="C993" s="720">
        <f>IF(D987= "","-",D987)</f>
        <v>2014</v>
      </c>
      <c r="D993" s="673">
        <f>+D986</f>
        <v>850534</v>
      </c>
      <c r="E993" s="1286">
        <f>+I990/12*(12-D988)</f>
        <v>0</v>
      </c>
      <c r="F993" s="673">
        <f t="shared" ref="F993:F1052" si="60">+D993-E993</f>
        <v>850534</v>
      </c>
      <c r="G993" s="1264">
        <f>+$I$988*((D993+F993)/2)+E993</f>
        <v>130482.57993927182</v>
      </c>
      <c r="H993" s="1265">
        <f>$I$989*((D993+F993)/2)+E993</f>
        <v>130482.57993927182</v>
      </c>
      <c r="I993" s="724">
        <f>+H993-G993</f>
        <v>0</v>
      </c>
      <c r="J993" s="724"/>
      <c r="K993" s="868">
        <v>99055</v>
      </c>
      <c r="L993" s="725"/>
      <c r="M993" s="868">
        <v>99055</v>
      </c>
      <c r="N993" s="725"/>
      <c r="O993" s="725"/>
    </row>
    <row r="994" spans="3:15">
      <c r="C994" s="720">
        <f>IF(D987="","-",+C993+1)</f>
        <v>2015</v>
      </c>
      <c r="D994" s="673">
        <f t="shared" ref="D994:D1052" si="61">F993</f>
        <v>850534</v>
      </c>
      <c r="E994" s="726">
        <f>IF(D994&gt;$I$990,$I$990,D994)</f>
        <v>19330.31818181818</v>
      </c>
      <c r="F994" s="673">
        <f t="shared" si="60"/>
        <v>831203.68181818177</v>
      </c>
      <c r="G994" s="1263">
        <f t="shared" ref="G994:G1052" si="62">+$I$988*((D994+F994)/2)+E994</f>
        <v>148330.14153087098</v>
      </c>
      <c r="H994" s="1266">
        <f t="shared" ref="H994:H1052" si="63">$I$989*((D994+F994)/2)+E994</f>
        <v>148330.14153087098</v>
      </c>
      <c r="I994" s="724">
        <f t="shared" ref="I994:I1052" si="64">+H994-G994</f>
        <v>0</v>
      </c>
      <c r="J994" s="724"/>
      <c r="K994" s="869">
        <v>178664</v>
      </c>
      <c r="L994" s="729"/>
      <c r="M994" s="869">
        <v>178664</v>
      </c>
      <c r="N994" s="729"/>
      <c r="O994" s="729"/>
    </row>
    <row r="995" spans="3:15">
      <c r="C995" s="720">
        <f>IF(D987="","-",+C994+1)</f>
        <v>2016</v>
      </c>
      <c r="D995" s="673">
        <f t="shared" si="61"/>
        <v>831203.68181818177</v>
      </c>
      <c r="E995" s="726">
        <f t="shared" ref="E995:E1052" si="65">IF(D995&gt;$I$990,$I$990,D995)</f>
        <v>19330.31818181818</v>
      </c>
      <c r="F995" s="673">
        <f t="shared" si="60"/>
        <v>811873.36363636353</v>
      </c>
      <c r="G995" s="1263">
        <f t="shared" si="62"/>
        <v>145364.62835043299</v>
      </c>
      <c r="H995" s="1266">
        <f t="shared" si="63"/>
        <v>145364.62835043299</v>
      </c>
      <c r="I995" s="724">
        <f t="shared" si="64"/>
        <v>0</v>
      </c>
      <c r="J995" s="724"/>
      <c r="K995" s="869">
        <v>174005</v>
      </c>
      <c r="L995" s="729"/>
      <c r="M995" s="869">
        <v>174005</v>
      </c>
      <c r="N995" s="729"/>
      <c r="O995" s="729"/>
    </row>
    <row r="996" spans="3:15">
      <c r="C996" s="720">
        <f>IF(D987="","-",+C995+1)</f>
        <v>2017</v>
      </c>
      <c r="D996" s="673">
        <f t="shared" si="61"/>
        <v>811873.36363636353</v>
      </c>
      <c r="E996" s="726">
        <f t="shared" si="65"/>
        <v>19330.31818181818</v>
      </c>
      <c r="F996" s="673">
        <f t="shared" si="60"/>
        <v>792543.0454545453</v>
      </c>
      <c r="G996" s="1263">
        <f t="shared" si="62"/>
        <v>142399.11516999497</v>
      </c>
      <c r="H996" s="1266">
        <f t="shared" si="63"/>
        <v>142399.11516999497</v>
      </c>
      <c r="I996" s="724">
        <f t="shared" si="64"/>
        <v>0</v>
      </c>
      <c r="J996" s="724"/>
      <c r="K996" s="869">
        <v>176014</v>
      </c>
      <c r="L996" s="729"/>
      <c r="M996" s="869">
        <v>174014</v>
      </c>
      <c r="N996" s="729"/>
      <c r="O996" s="729"/>
    </row>
    <row r="997" spans="3:15">
      <c r="C997" s="1268">
        <f>IF(D987="","-",+C996+1)</f>
        <v>2018</v>
      </c>
      <c r="D997" s="1269">
        <f t="shared" si="61"/>
        <v>792543.0454545453</v>
      </c>
      <c r="E997" s="1270">
        <f t="shared" si="65"/>
        <v>19330.31818181818</v>
      </c>
      <c r="F997" s="1269">
        <f t="shared" si="60"/>
        <v>773212.72727272706</v>
      </c>
      <c r="G997" s="1271">
        <f t="shared" si="62"/>
        <v>139433.60198955701</v>
      </c>
      <c r="H997" s="1272">
        <f t="shared" si="63"/>
        <v>139433.60198955701</v>
      </c>
      <c r="I997" s="1273">
        <f t="shared" si="64"/>
        <v>0</v>
      </c>
      <c r="J997" s="724"/>
      <c r="K997" s="869"/>
      <c r="L997" s="729"/>
      <c r="M997" s="869"/>
      <c r="N997" s="729"/>
      <c r="O997" s="729"/>
    </row>
    <row r="998" spans="3:15">
      <c r="C998" s="720">
        <f>IF(D987="","-",+C997+1)</f>
        <v>2019</v>
      </c>
      <c r="D998" s="673">
        <f t="shared" si="61"/>
        <v>773212.72727272706</v>
      </c>
      <c r="E998" s="726">
        <f t="shared" si="65"/>
        <v>19330.31818181818</v>
      </c>
      <c r="F998" s="673">
        <f t="shared" si="60"/>
        <v>753882.40909090883</v>
      </c>
      <c r="G998" s="1263">
        <f t="shared" si="62"/>
        <v>136468.08880911898</v>
      </c>
      <c r="H998" s="1266">
        <f t="shared" si="63"/>
        <v>136468.08880911898</v>
      </c>
      <c r="I998" s="724">
        <f t="shared" si="64"/>
        <v>0</v>
      </c>
      <c r="J998" s="724"/>
      <c r="K998" s="869"/>
      <c r="L998" s="729"/>
      <c r="M998" s="869"/>
      <c r="N998" s="729"/>
      <c r="O998" s="729"/>
    </row>
    <row r="999" spans="3:15">
      <c r="C999" s="720">
        <f>IF(D987="","-",+C998+1)</f>
        <v>2020</v>
      </c>
      <c r="D999" s="673">
        <f t="shared" si="61"/>
        <v>753882.40909090883</v>
      </c>
      <c r="E999" s="726">
        <f t="shared" si="65"/>
        <v>19330.31818181818</v>
      </c>
      <c r="F999" s="673">
        <f t="shared" si="60"/>
        <v>734552.09090909059</v>
      </c>
      <c r="G999" s="1263">
        <f t="shared" si="62"/>
        <v>133502.57562868099</v>
      </c>
      <c r="H999" s="1266">
        <f t="shared" si="63"/>
        <v>133502.57562868099</v>
      </c>
      <c r="I999" s="724">
        <f t="shared" si="64"/>
        <v>0</v>
      </c>
      <c r="J999" s="724"/>
      <c r="K999" s="869"/>
      <c r="L999" s="729"/>
      <c r="M999" s="869"/>
      <c r="N999" s="729"/>
      <c r="O999" s="729"/>
    </row>
    <row r="1000" spans="3:15">
      <c r="C1000" s="720">
        <f>IF(D987="","-",+C999+1)</f>
        <v>2021</v>
      </c>
      <c r="D1000" s="673">
        <f t="shared" si="61"/>
        <v>734552.09090909059</v>
      </c>
      <c r="E1000" s="726">
        <f t="shared" si="65"/>
        <v>19330.31818181818</v>
      </c>
      <c r="F1000" s="673">
        <f t="shared" si="60"/>
        <v>715221.77272727236</v>
      </c>
      <c r="G1000" s="1263">
        <f t="shared" si="62"/>
        <v>130537.06244824296</v>
      </c>
      <c r="H1000" s="1266">
        <f t="shared" si="63"/>
        <v>130537.06244824296</v>
      </c>
      <c r="I1000" s="724">
        <f t="shared" si="64"/>
        <v>0</v>
      </c>
      <c r="J1000" s="724"/>
      <c r="K1000" s="869"/>
      <c r="L1000" s="729"/>
      <c r="M1000" s="869"/>
      <c r="N1000" s="729"/>
      <c r="O1000" s="729"/>
    </row>
    <row r="1001" spans="3:15">
      <c r="C1001" s="720">
        <f>IF(D987="","-",+C1000+1)</f>
        <v>2022</v>
      </c>
      <c r="D1001" s="673">
        <f t="shared" si="61"/>
        <v>715221.77272727236</v>
      </c>
      <c r="E1001" s="726">
        <f t="shared" si="65"/>
        <v>19330.31818181818</v>
      </c>
      <c r="F1001" s="673">
        <f t="shared" si="60"/>
        <v>695891.45454545412</v>
      </c>
      <c r="G1001" s="1263">
        <f t="shared" si="62"/>
        <v>127571.54926780498</v>
      </c>
      <c r="H1001" s="1266">
        <f t="shared" si="63"/>
        <v>127571.54926780498</v>
      </c>
      <c r="I1001" s="724">
        <f t="shared" si="64"/>
        <v>0</v>
      </c>
      <c r="J1001" s="724"/>
      <c r="K1001" s="869"/>
      <c r="L1001" s="729"/>
      <c r="M1001" s="869"/>
      <c r="N1001" s="729"/>
      <c r="O1001" s="729"/>
    </row>
    <row r="1002" spans="3:15">
      <c r="C1002" s="720">
        <f>IF(D987="","-",+C1001+1)</f>
        <v>2023</v>
      </c>
      <c r="D1002" s="673">
        <f t="shared" si="61"/>
        <v>695891.45454545412</v>
      </c>
      <c r="E1002" s="726">
        <f t="shared" si="65"/>
        <v>19330.31818181818</v>
      </c>
      <c r="F1002" s="673">
        <f t="shared" si="60"/>
        <v>676561.13636363589</v>
      </c>
      <c r="G1002" s="1263">
        <f t="shared" si="62"/>
        <v>124606.03608736696</v>
      </c>
      <c r="H1002" s="1266">
        <f t="shared" si="63"/>
        <v>124606.03608736696</v>
      </c>
      <c r="I1002" s="724">
        <f t="shared" si="64"/>
        <v>0</v>
      </c>
      <c r="J1002" s="724"/>
      <c r="K1002" s="869"/>
      <c r="L1002" s="729"/>
      <c r="M1002" s="869"/>
      <c r="N1002" s="729"/>
      <c r="O1002" s="729"/>
    </row>
    <row r="1003" spans="3:15">
      <c r="C1003" s="720">
        <f>IF(D987="","-",+C1002+1)</f>
        <v>2024</v>
      </c>
      <c r="D1003" s="673">
        <f t="shared" si="61"/>
        <v>676561.13636363589</v>
      </c>
      <c r="E1003" s="726">
        <f t="shared" si="65"/>
        <v>19330.31818181818</v>
      </c>
      <c r="F1003" s="673">
        <f t="shared" si="60"/>
        <v>657230.81818181765</v>
      </c>
      <c r="G1003" s="1263">
        <f t="shared" si="62"/>
        <v>121640.52290692896</v>
      </c>
      <c r="H1003" s="1266">
        <f t="shared" si="63"/>
        <v>121640.52290692896</v>
      </c>
      <c r="I1003" s="724">
        <f t="shared" si="64"/>
        <v>0</v>
      </c>
      <c r="J1003" s="724"/>
      <c r="K1003" s="869"/>
      <c r="L1003" s="729"/>
      <c r="M1003" s="869"/>
      <c r="N1003" s="729"/>
      <c r="O1003" s="729"/>
    </row>
    <row r="1004" spans="3:15">
      <c r="C1004" s="720">
        <f>IF(D987="","-",+C1003+1)</f>
        <v>2025</v>
      </c>
      <c r="D1004" s="673">
        <f t="shared" si="61"/>
        <v>657230.81818181765</v>
      </c>
      <c r="E1004" s="726">
        <f t="shared" si="65"/>
        <v>19330.31818181818</v>
      </c>
      <c r="F1004" s="673">
        <f t="shared" si="60"/>
        <v>637900.49999999942</v>
      </c>
      <c r="G1004" s="1263">
        <f t="shared" si="62"/>
        <v>118675.00972649094</v>
      </c>
      <c r="H1004" s="1266">
        <f t="shared" si="63"/>
        <v>118675.00972649094</v>
      </c>
      <c r="I1004" s="724">
        <f t="shared" si="64"/>
        <v>0</v>
      </c>
      <c r="J1004" s="724"/>
      <c r="K1004" s="869"/>
      <c r="L1004" s="729"/>
      <c r="M1004" s="869"/>
      <c r="N1004" s="729"/>
      <c r="O1004" s="729"/>
    </row>
    <row r="1005" spans="3:15">
      <c r="C1005" s="720">
        <f>IF(D987="","-",+C1004+1)</f>
        <v>2026</v>
      </c>
      <c r="D1005" s="673">
        <f t="shared" si="61"/>
        <v>637900.49999999942</v>
      </c>
      <c r="E1005" s="726">
        <f t="shared" si="65"/>
        <v>19330.31818181818</v>
      </c>
      <c r="F1005" s="673">
        <f t="shared" si="60"/>
        <v>618570.18181818118</v>
      </c>
      <c r="G1005" s="1263">
        <f t="shared" si="62"/>
        <v>115709.49654605296</v>
      </c>
      <c r="H1005" s="1266">
        <f t="shared" si="63"/>
        <v>115709.49654605296</v>
      </c>
      <c r="I1005" s="724">
        <f t="shared" si="64"/>
        <v>0</v>
      </c>
      <c r="J1005" s="724"/>
      <c r="K1005" s="869"/>
      <c r="L1005" s="729"/>
      <c r="M1005" s="869"/>
      <c r="N1005" s="729"/>
      <c r="O1005" s="729"/>
    </row>
    <row r="1006" spans="3:15">
      <c r="C1006" s="720">
        <f>IF(D987="","-",+C1005+1)</f>
        <v>2027</v>
      </c>
      <c r="D1006" s="673">
        <f t="shared" si="61"/>
        <v>618570.18181818118</v>
      </c>
      <c r="E1006" s="726">
        <f t="shared" si="65"/>
        <v>19330.31818181818</v>
      </c>
      <c r="F1006" s="673">
        <f t="shared" si="60"/>
        <v>599239.86363636295</v>
      </c>
      <c r="G1006" s="1263">
        <f t="shared" si="62"/>
        <v>112743.98336561494</v>
      </c>
      <c r="H1006" s="1266">
        <f t="shared" si="63"/>
        <v>112743.98336561494</v>
      </c>
      <c r="I1006" s="724">
        <f t="shared" si="64"/>
        <v>0</v>
      </c>
      <c r="J1006" s="724"/>
      <c r="K1006" s="869"/>
      <c r="L1006" s="729"/>
      <c r="M1006" s="869"/>
      <c r="N1006" s="729"/>
      <c r="O1006" s="729"/>
    </row>
    <row r="1007" spans="3:15">
      <c r="C1007" s="720">
        <f>IF(D987="","-",+C1006+1)</f>
        <v>2028</v>
      </c>
      <c r="D1007" s="673">
        <f t="shared" si="61"/>
        <v>599239.86363636295</v>
      </c>
      <c r="E1007" s="726">
        <f t="shared" si="65"/>
        <v>19330.31818181818</v>
      </c>
      <c r="F1007" s="673">
        <f t="shared" si="60"/>
        <v>579909.54545454471</v>
      </c>
      <c r="G1007" s="1263">
        <f t="shared" si="62"/>
        <v>109778.47018517695</v>
      </c>
      <c r="H1007" s="1266">
        <f t="shared" si="63"/>
        <v>109778.47018517695</v>
      </c>
      <c r="I1007" s="724">
        <f t="shared" si="64"/>
        <v>0</v>
      </c>
      <c r="J1007" s="724"/>
      <c r="K1007" s="869"/>
      <c r="L1007" s="729"/>
      <c r="M1007" s="869"/>
      <c r="N1007" s="729"/>
      <c r="O1007" s="729"/>
    </row>
    <row r="1008" spans="3:15">
      <c r="C1008" s="720">
        <f>IF(D987="","-",+C1007+1)</f>
        <v>2029</v>
      </c>
      <c r="D1008" s="673">
        <f t="shared" si="61"/>
        <v>579909.54545454471</v>
      </c>
      <c r="E1008" s="726">
        <f t="shared" si="65"/>
        <v>19330.31818181818</v>
      </c>
      <c r="F1008" s="673">
        <f t="shared" si="60"/>
        <v>560579.22727272648</v>
      </c>
      <c r="G1008" s="1263">
        <f t="shared" si="62"/>
        <v>106812.95700473893</v>
      </c>
      <c r="H1008" s="1266">
        <f t="shared" si="63"/>
        <v>106812.95700473893</v>
      </c>
      <c r="I1008" s="724">
        <f t="shared" si="64"/>
        <v>0</v>
      </c>
      <c r="J1008" s="724"/>
      <c r="K1008" s="869"/>
      <c r="L1008" s="729"/>
      <c r="M1008" s="869"/>
      <c r="N1008" s="729"/>
      <c r="O1008" s="729"/>
    </row>
    <row r="1009" spans="3:15">
      <c r="C1009" s="720">
        <f>IF(D987="","-",+C1008+1)</f>
        <v>2030</v>
      </c>
      <c r="D1009" s="673">
        <f t="shared" si="61"/>
        <v>560579.22727272648</v>
      </c>
      <c r="E1009" s="726">
        <f t="shared" si="65"/>
        <v>19330.31818181818</v>
      </c>
      <c r="F1009" s="673">
        <f t="shared" si="60"/>
        <v>541248.90909090824</v>
      </c>
      <c r="G1009" s="1263">
        <f t="shared" si="62"/>
        <v>103847.44382430094</v>
      </c>
      <c r="H1009" s="1266">
        <f t="shared" si="63"/>
        <v>103847.44382430094</v>
      </c>
      <c r="I1009" s="724">
        <f t="shared" si="64"/>
        <v>0</v>
      </c>
      <c r="J1009" s="724"/>
      <c r="K1009" s="869"/>
      <c r="L1009" s="729"/>
      <c r="M1009" s="869"/>
      <c r="N1009" s="729"/>
      <c r="O1009" s="729"/>
    </row>
    <row r="1010" spans="3:15">
      <c r="C1010" s="720">
        <f>IF(D987="","-",+C1009+1)</f>
        <v>2031</v>
      </c>
      <c r="D1010" s="673">
        <f t="shared" si="61"/>
        <v>541248.90909090824</v>
      </c>
      <c r="E1010" s="726">
        <f t="shared" si="65"/>
        <v>19330.31818181818</v>
      </c>
      <c r="F1010" s="673">
        <f t="shared" si="60"/>
        <v>521918.59090909007</v>
      </c>
      <c r="G1010" s="1263">
        <f t="shared" si="62"/>
        <v>100881.93064386294</v>
      </c>
      <c r="H1010" s="1266">
        <f t="shared" si="63"/>
        <v>100881.93064386294</v>
      </c>
      <c r="I1010" s="724">
        <f t="shared" si="64"/>
        <v>0</v>
      </c>
      <c r="J1010" s="724"/>
      <c r="K1010" s="869"/>
      <c r="L1010" s="729"/>
      <c r="M1010" s="869"/>
      <c r="N1010" s="729"/>
      <c r="O1010" s="729"/>
    </row>
    <row r="1011" spans="3:15">
      <c r="C1011" s="720">
        <f>IF(D987="","-",+C1010+1)</f>
        <v>2032</v>
      </c>
      <c r="D1011" s="673">
        <f t="shared" si="61"/>
        <v>521918.59090909007</v>
      </c>
      <c r="E1011" s="726">
        <f t="shared" si="65"/>
        <v>19330.31818181818</v>
      </c>
      <c r="F1011" s="673">
        <f t="shared" si="60"/>
        <v>502588.27272727189</v>
      </c>
      <c r="G1011" s="1263">
        <f t="shared" si="62"/>
        <v>97916.417463424936</v>
      </c>
      <c r="H1011" s="1266">
        <f t="shared" si="63"/>
        <v>97916.417463424936</v>
      </c>
      <c r="I1011" s="724">
        <f t="shared" si="64"/>
        <v>0</v>
      </c>
      <c r="J1011" s="724"/>
      <c r="K1011" s="869"/>
      <c r="L1011" s="729"/>
      <c r="M1011" s="869"/>
      <c r="N1011" s="729"/>
      <c r="O1011" s="729"/>
    </row>
    <row r="1012" spans="3:15">
      <c r="C1012" s="720">
        <f>IF(D987="","-",+C1011+1)</f>
        <v>2033</v>
      </c>
      <c r="D1012" s="673">
        <f t="shared" si="61"/>
        <v>502588.27272727189</v>
      </c>
      <c r="E1012" s="726">
        <f t="shared" si="65"/>
        <v>19330.31818181818</v>
      </c>
      <c r="F1012" s="673">
        <f t="shared" si="60"/>
        <v>483257.95454545371</v>
      </c>
      <c r="G1012" s="1263">
        <f t="shared" si="62"/>
        <v>94950.904282986943</v>
      </c>
      <c r="H1012" s="1266">
        <f t="shared" si="63"/>
        <v>94950.904282986943</v>
      </c>
      <c r="I1012" s="724">
        <f t="shared" si="64"/>
        <v>0</v>
      </c>
      <c r="J1012" s="724"/>
      <c r="K1012" s="869"/>
      <c r="L1012" s="729"/>
      <c r="M1012" s="869"/>
      <c r="N1012" s="729"/>
      <c r="O1012" s="729"/>
    </row>
    <row r="1013" spans="3:15">
      <c r="C1013" s="720">
        <f>IF(D987="","-",+C1012+1)</f>
        <v>2034</v>
      </c>
      <c r="D1013" s="673">
        <f t="shared" si="61"/>
        <v>483257.95454545371</v>
      </c>
      <c r="E1013" s="726">
        <f t="shared" si="65"/>
        <v>19330.31818181818</v>
      </c>
      <c r="F1013" s="673">
        <f t="shared" si="60"/>
        <v>463927.63636363554</v>
      </c>
      <c r="G1013" s="1263">
        <f t="shared" si="62"/>
        <v>91985.391102548936</v>
      </c>
      <c r="H1013" s="1266">
        <f t="shared" si="63"/>
        <v>91985.391102548936</v>
      </c>
      <c r="I1013" s="724">
        <f t="shared" si="64"/>
        <v>0</v>
      </c>
      <c r="J1013" s="724"/>
      <c r="K1013" s="869"/>
      <c r="L1013" s="729"/>
      <c r="M1013" s="869"/>
      <c r="N1013" s="729"/>
      <c r="O1013" s="729"/>
    </row>
    <row r="1014" spans="3:15">
      <c r="C1014" s="720">
        <f>IF(D987="","-",+C1013+1)</f>
        <v>2035</v>
      </c>
      <c r="D1014" s="673">
        <f t="shared" si="61"/>
        <v>463927.63636363554</v>
      </c>
      <c r="E1014" s="726">
        <f t="shared" si="65"/>
        <v>19330.31818181818</v>
      </c>
      <c r="F1014" s="673">
        <f t="shared" si="60"/>
        <v>444597.31818181736</v>
      </c>
      <c r="G1014" s="1263">
        <f t="shared" si="62"/>
        <v>89019.877922110958</v>
      </c>
      <c r="H1014" s="1266">
        <f t="shared" si="63"/>
        <v>89019.877922110958</v>
      </c>
      <c r="I1014" s="724">
        <f t="shared" si="64"/>
        <v>0</v>
      </c>
      <c r="J1014" s="724"/>
      <c r="K1014" s="869"/>
      <c r="L1014" s="729"/>
      <c r="M1014" s="869"/>
      <c r="N1014" s="729"/>
      <c r="O1014" s="729"/>
    </row>
    <row r="1015" spans="3:15">
      <c r="C1015" s="720">
        <f>IF(D987="","-",+C1014+1)</f>
        <v>2036</v>
      </c>
      <c r="D1015" s="673">
        <f t="shared" si="61"/>
        <v>444597.31818181736</v>
      </c>
      <c r="E1015" s="726">
        <f t="shared" si="65"/>
        <v>19330.31818181818</v>
      </c>
      <c r="F1015" s="673">
        <f t="shared" si="60"/>
        <v>425266.99999999919</v>
      </c>
      <c r="G1015" s="1263">
        <f t="shared" si="62"/>
        <v>86054.364741672951</v>
      </c>
      <c r="H1015" s="1266">
        <f t="shared" si="63"/>
        <v>86054.364741672951</v>
      </c>
      <c r="I1015" s="724">
        <f t="shared" si="64"/>
        <v>0</v>
      </c>
      <c r="J1015" s="724"/>
      <c r="K1015" s="869"/>
      <c r="L1015" s="729"/>
      <c r="M1015" s="869"/>
      <c r="N1015" s="729"/>
      <c r="O1015" s="729"/>
    </row>
    <row r="1016" spans="3:15">
      <c r="C1016" s="720">
        <f>IF(D987="","-",+C1015+1)</f>
        <v>2037</v>
      </c>
      <c r="D1016" s="673">
        <f t="shared" si="61"/>
        <v>425266.99999999919</v>
      </c>
      <c r="E1016" s="726">
        <f t="shared" si="65"/>
        <v>19330.31818181818</v>
      </c>
      <c r="F1016" s="673">
        <f t="shared" si="60"/>
        <v>405936.68181818101</v>
      </c>
      <c r="G1016" s="1263">
        <f t="shared" si="62"/>
        <v>83088.851561234973</v>
      </c>
      <c r="H1016" s="1266">
        <f t="shared" si="63"/>
        <v>83088.851561234973</v>
      </c>
      <c r="I1016" s="724">
        <f t="shared" si="64"/>
        <v>0</v>
      </c>
      <c r="J1016" s="724"/>
      <c r="K1016" s="869"/>
      <c r="L1016" s="729"/>
      <c r="M1016" s="869"/>
      <c r="N1016" s="729"/>
      <c r="O1016" s="729"/>
    </row>
    <row r="1017" spans="3:15">
      <c r="C1017" s="720">
        <f>IF(D987="","-",+C1016+1)</f>
        <v>2038</v>
      </c>
      <c r="D1017" s="673">
        <f t="shared" si="61"/>
        <v>405936.68181818101</v>
      </c>
      <c r="E1017" s="726">
        <f t="shared" si="65"/>
        <v>19330.31818181818</v>
      </c>
      <c r="F1017" s="673">
        <f t="shared" si="60"/>
        <v>386606.36363636283</v>
      </c>
      <c r="G1017" s="1263">
        <f t="shared" si="62"/>
        <v>80123.338380796966</v>
      </c>
      <c r="H1017" s="1266">
        <f t="shared" si="63"/>
        <v>80123.338380796966</v>
      </c>
      <c r="I1017" s="724">
        <f t="shared" si="64"/>
        <v>0</v>
      </c>
      <c r="J1017" s="724"/>
      <c r="K1017" s="869"/>
      <c r="L1017" s="729"/>
      <c r="M1017" s="869"/>
      <c r="N1017" s="729"/>
      <c r="O1017" s="729"/>
    </row>
    <row r="1018" spans="3:15">
      <c r="C1018" s="720">
        <f>IF(D987="","-",+C1017+1)</f>
        <v>2039</v>
      </c>
      <c r="D1018" s="673">
        <f t="shared" si="61"/>
        <v>386606.36363636283</v>
      </c>
      <c r="E1018" s="726">
        <f t="shared" si="65"/>
        <v>19330.31818181818</v>
      </c>
      <c r="F1018" s="673">
        <f t="shared" si="60"/>
        <v>367276.04545454466</v>
      </c>
      <c r="G1018" s="1263">
        <f t="shared" si="62"/>
        <v>77157.825200358973</v>
      </c>
      <c r="H1018" s="1266">
        <f t="shared" si="63"/>
        <v>77157.825200358973</v>
      </c>
      <c r="I1018" s="724">
        <f t="shared" si="64"/>
        <v>0</v>
      </c>
      <c r="J1018" s="724"/>
      <c r="K1018" s="869"/>
      <c r="L1018" s="729"/>
      <c r="M1018" s="869"/>
      <c r="N1018" s="729"/>
      <c r="O1018" s="729"/>
    </row>
    <row r="1019" spans="3:15">
      <c r="C1019" s="720">
        <f>IF(D987="","-",+C1018+1)</f>
        <v>2040</v>
      </c>
      <c r="D1019" s="673">
        <f t="shared" si="61"/>
        <v>367276.04545454466</v>
      </c>
      <c r="E1019" s="726">
        <f t="shared" si="65"/>
        <v>19330.31818181818</v>
      </c>
      <c r="F1019" s="673">
        <f t="shared" si="60"/>
        <v>347945.72727272648</v>
      </c>
      <c r="G1019" s="1263">
        <f t="shared" si="62"/>
        <v>74192.312019920981</v>
      </c>
      <c r="H1019" s="1266">
        <f t="shared" si="63"/>
        <v>74192.312019920981</v>
      </c>
      <c r="I1019" s="724">
        <f t="shared" si="64"/>
        <v>0</v>
      </c>
      <c r="J1019" s="724"/>
      <c r="K1019" s="869"/>
      <c r="L1019" s="729"/>
      <c r="M1019" s="869"/>
      <c r="N1019" s="729"/>
      <c r="O1019" s="729"/>
    </row>
    <row r="1020" spans="3:15">
      <c r="C1020" s="720">
        <f>IF(D987="","-",+C1019+1)</f>
        <v>2041</v>
      </c>
      <c r="D1020" s="673">
        <f t="shared" si="61"/>
        <v>347945.72727272648</v>
      </c>
      <c r="E1020" s="726">
        <f t="shared" si="65"/>
        <v>19330.31818181818</v>
      </c>
      <c r="F1020" s="673">
        <f t="shared" si="60"/>
        <v>328615.4090909083</v>
      </c>
      <c r="G1020" s="1263">
        <f t="shared" si="62"/>
        <v>71226.798839482988</v>
      </c>
      <c r="H1020" s="1266">
        <f t="shared" si="63"/>
        <v>71226.798839482988</v>
      </c>
      <c r="I1020" s="724">
        <f t="shared" si="64"/>
        <v>0</v>
      </c>
      <c r="J1020" s="724"/>
      <c r="K1020" s="869"/>
      <c r="L1020" s="729"/>
      <c r="M1020" s="869"/>
      <c r="N1020" s="729"/>
      <c r="O1020" s="729"/>
    </row>
    <row r="1021" spans="3:15">
      <c r="C1021" s="720">
        <f>IF(D987="","-",+C1020+1)</f>
        <v>2042</v>
      </c>
      <c r="D1021" s="673">
        <f t="shared" si="61"/>
        <v>328615.4090909083</v>
      </c>
      <c r="E1021" s="726">
        <f t="shared" si="65"/>
        <v>19330.31818181818</v>
      </c>
      <c r="F1021" s="673">
        <f t="shared" si="60"/>
        <v>309285.09090909013</v>
      </c>
      <c r="G1021" s="1264">
        <f t="shared" si="62"/>
        <v>68261.285659044981</v>
      </c>
      <c r="H1021" s="1266">
        <f t="shared" si="63"/>
        <v>68261.285659044981</v>
      </c>
      <c r="I1021" s="724">
        <f t="shared" si="64"/>
        <v>0</v>
      </c>
      <c r="J1021" s="724"/>
      <c r="K1021" s="869"/>
      <c r="L1021" s="729"/>
      <c r="M1021" s="869"/>
      <c r="N1021" s="729"/>
      <c r="O1021" s="729"/>
    </row>
    <row r="1022" spans="3:15">
      <c r="C1022" s="720">
        <f>IF(D987="","-",+C1021+1)</f>
        <v>2043</v>
      </c>
      <c r="D1022" s="673">
        <f t="shared" si="61"/>
        <v>309285.09090909013</v>
      </c>
      <c r="E1022" s="726">
        <f t="shared" si="65"/>
        <v>19330.31818181818</v>
      </c>
      <c r="F1022" s="673">
        <f t="shared" si="60"/>
        <v>289954.77272727195</v>
      </c>
      <c r="G1022" s="1263">
        <f t="shared" si="62"/>
        <v>65295.772478607003</v>
      </c>
      <c r="H1022" s="1266">
        <f t="shared" si="63"/>
        <v>65295.772478607003</v>
      </c>
      <c r="I1022" s="724">
        <f t="shared" si="64"/>
        <v>0</v>
      </c>
      <c r="J1022" s="724"/>
      <c r="K1022" s="869"/>
      <c r="L1022" s="729"/>
      <c r="M1022" s="869"/>
      <c r="N1022" s="729"/>
      <c r="O1022" s="729"/>
    </row>
    <row r="1023" spans="3:15">
      <c r="C1023" s="720">
        <f>IF(D987="","-",+C1022+1)</f>
        <v>2044</v>
      </c>
      <c r="D1023" s="673">
        <f t="shared" si="61"/>
        <v>289954.77272727195</v>
      </c>
      <c r="E1023" s="726">
        <f t="shared" si="65"/>
        <v>19330.31818181818</v>
      </c>
      <c r="F1023" s="673">
        <f t="shared" si="60"/>
        <v>270624.45454545377</v>
      </c>
      <c r="G1023" s="1263">
        <f t="shared" si="62"/>
        <v>62330.259298168996</v>
      </c>
      <c r="H1023" s="1266">
        <f t="shared" si="63"/>
        <v>62330.259298168996</v>
      </c>
      <c r="I1023" s="724">
        <f t="shared" si="64"/>
        <v>0</v>
      </c>
      <c r="J1023" s="724"/>
      <c r="K1023" s="869"/>
      <c r="L1023" s="729"/>
      <c r="M1023" s="869"/>
      <c r="N1023" s="729"/>
      <c r="O1023" s="729"/>
    </row>
    <row r="1024" spans="3:15">
      <c r="C1024" s="720">
        <f>IF(D987="","-",+C1023+1)</f>
        <v>2045</v>
      </c>
      <c r="D1024" s="673">
        <f t="shared" si="61"/>
        <v>270624.45454545377</v>
      </c>
      <c r="E1024" s="726">
        <f t="shared" si="65"/>
        <v>19330.31818181818</v>
      </c>
      <c r="F1024" s="673">
        <f t="shared" si="60"/>
        <v>251294.1363636356</v>
      </c>
      <c r="G1024" s="1263">
        <f t="shared" si="62"/>
        <v>59364.746117731003</v>
      </c>
      <c r="H1024" s="1266">
        <f t="shared" si="63"/>
        <v>59364.746117731003</v>
      </c>
      <c r="I1024" s="724">
        <f t="shared" si="64"/>
        <v>0</v>
      </c>
      <c r="J1024" s="724"/>
      <c r="K1024" s="869"/>
      <c r="L1024" s="729"/>
      <c r="M1024" s="869"/>
      <c r="N1024" s="729"/>
      <c r="O1024" s="729"/>
    </row>
    <row r="1025" spans="3:15">
      <c r="C1025" s="720">
        <f>IF(D987="","-",+C1024+1)</f>
        <v>2046</v>
      </c>
      <c r="D1025" s="673">
        <f t="shared" si="61"/>
        <v>251294.1363636356</v>
      </c>
      <c r="E1025" s="726">
        <f t="shared" si="65"/>
        <v>19330.31818181818</v>
      </c>
      <c r="F1025" s="673">
        <f t="shared" si="60"/>
        <v>231963.81818181742</v>
      </c>
      <c r="G1025" s="1263">
        <f t="shared" si="62"/>
        <v>56399.232937293011</v>
      </c>
      <c r="H1025" s="1266">
        <f t="shared" si="63"/>
        <v>56399.232937293011</v>
      </c>
      <c r="I1025" s="724">
        <f t="shared" si="64"/>
        <v>0</v>
      </c>
      <c r="J1025" s="724"/>
      <c r="K1025" s="869"/>
      <c r="L1025" s="729"/>
      <c r="M1025" s="869"/>
      <c r="N1025" s="729"/>
      <c r="O1025" s="729"/>
    </row>
    <row r="1026" spans="3:15">
      <c r="C1026" s="720">
        <f>IF(D987="","-",+C1025+1)</f>
        <v>2047</v>
      </c>
      <c r="D1026" s="673">
        <f t="shared" si="61"/>
        <v>231963.81818181742</v>
      </c>
      <c r="E1026" s="726">
        <f t="shared" si="65"/>
        <v>19330.31818181818</v>
      </c>
      <c r="F1026" s="673">
        <f t="shared" si="60"/>
        <v>212633.49999999924</v>
      </c>
      <c r="G1026" s="1263">
        <f t="shared" si="62"/>
        <v>53433.719756855018</v>
      </c>
      <c r="H1026" s="1266">
        <f t="shared" si="63"/>
        <v>53433.719756855018</v>
      </c>
      <c r="I1026" s="724">
        <f t="shared" si="64"/>
        <v>0</v>
      </c>
      <c r="J1026" s="724"/>
      <c r="K1026" s="869"/>
      <c r="L1026" s="729"/>
      <c r="M1026" s="869"/>
      <c r="N1026" s="729"/>
      <c r="O1026" s="729"/>
    </row>
    <row r="1027" spans="3:15">
      <c r="C1027" s="720">
        <f>IF(D987="","-",+C1026+1)</f>
        <v>2048</v>
      </c>
      <c r="D1027" s="673">
        <f t="shared" si="61"/>
        <v>212633.49999999924</v>
      </c>
      <c r="E1027" s="726">
        <f t="shared" si="65"/>
        <v>19330.31818181818</v>
      </c>
      <c r="F1027" s="673">
        <f t="shared" si="60"/>
        <v>193303.18181818107</v>
      </c>
      <c r="G1027" s="1263">
        <f t="shared" si="62"/>
        <v>50468.206576417026</v>
      </c>
      <c r="H1027" s="1266">
        <f t="shared" si="63"/>
        <v>50468.206576417026</v>
      </c>
      <c r="I1027" s="724">
        <f t="shared" si="64"/>
        <v>0</v>
      </c>
      <c r="J1027" s="724"/>
      <c r="K1027" s="869"/>
      <c r="L1027" s="729"/>
      <c r="M1027" s="869"/>
      <c r="N1027" s="729"/>
      <c r="O1027" s="729"/>
    </row>
    <row r="1028" spans="3:15">
      <c r="C1028" s="720">
        <f>IF(D987="","-",+C1027+1)</f>
        <v>2049</v>
      </c>
      <c r="D1028" s="673">
        <f t="shared" si="61"/>
        <v>193303.18181818107</v>
      </c>
      <c r="E1028" s="726">
        <f t="shared" si="65"/>
        <v>19330.31818181818</v>
      </c>
      <c r="F1028" s="673">
        <f t="shared" si="60"/>
        <v>173972.86363636289</v>
      </c>
      <c r="G1028" s="1263">
        <f t="shared" si="62"/>
        <v>47502.693395979026</v>
      </c>
      <c r="H1028" s="1266">
        <f t="shared" si="63"/>
        <v>47502.693395979026</v>
      </c>
      <c r="I1028" s="724">
        <f t="shared" si="64"/>
        <v>0</v>
      </c>
      <c r="J1028" s="724"/>
      <c r="K1028" s="869"/>
      <c r="L1028" s="729"/>
      <c r="M1028" s="869"/>
      <c r="N1028" s="729"/>
      <c r="O1028" s="729"/>
    </row>
    <row r="1029" spans="3:15">
      <c r="C1029" s="720">
        <f>IF(D987="","-",+C1028+1)</f>
        <v>2050</v>
      </c>
      <c r="D1029" s="673">
        <f t="shared" si="61"/>
        <v>173972.86363636289</v>
      </c>
      <c r="E1029" s="726">
        <f t="shared" si="65"/>
        <v>19330.31818181818</v>
      </c>
      <c r="F1029" s="673">
        <f t="shared" si="60"/>
        <v>154642.54545454471</v>
      </c>
      <c r="G1029" s="1263">
        <f t="shared" si="62"/>
        <v>44537.180215541026</v>
      </c>
      <c r="H1029" s="1266">
        <f t="shared" si="63"/>
        <v>44537.180215541026</v>
      </c>
      <c r="I1029" s="724">
        <f t="shared" si="64"/>
        <v>0</v>
      </c>
      <c r="J1029" s="724"/>
      <c r="K1029" s="869"/>
      <c r="L1029" s="729"/>
      <c r="M1029" s="869"/>
      <c r="N1029" s="729"/>
      <c r="O1029" s="729"/>
    </row>
    <row r="1030" spans="3:15">
      <c r="C1030" s="720">
        <f>IF(D987="","-",+C1029+1)</f>
        <v>2051</v>
      </c>
      <c r="D1030" s="673">
        <f t="shared" si="61"/>
        <v>154642.54545454471</v>
      </c>
      <c r="E1030" s="726">
        <f t="shared" si="65"/>
        <v>19330.31818181818</v>
      </c>
      <c r="F1030" s="673">
        <f t="shared" si="60"/>
        <v>135312.22727272654</v>
      </c>
      <c r="G1030" s="1263">
        <f t="shared" si="62"/>
        <v>41571.667035103033</v>
      </c>
      <c r="H1030" s="1266">
        <f t="shared" si="63"/>
        <v>41571.667035103033</v>
      </c>
      <c r="I1030" s="724">
        <f t="shared" si="64"/>
        <v>0</v>
      </c>
      <c r="J1030" s="724"/>
      <c r="K1030" s="869"/>
      <c r="L1030" s="729"/>
      <c r="M1030" s="869"/>
      <c r="N1030" s="729"/>
      <c r="O1030" s="729"/>
    </row>
    <row r="1031" spans="3:15">
      <c r="C1031" s="720">
        <f>IF(D987="","-",+C1030+1)</f>
        <v>2052</v>
      </c>
      <c r="D1031" s="673">
        <f t="shared" si="61"/>
        <v>135312.22727272654</v>
      </c>
      <c r="E1031" s="726">
        <f t="shared" si="65"/>
        <v>19330.31818181818</v>
      </c>
      <c r="F1031" s="673">
        <f t="shared" si="60"/>
        <v>115981.90909090836</v>
      </c>
      <c r="G1031" s="1263">
        <f t="shared" si="62"/>
        <v>38606.153854665041</v>
      </c>
      <c r="H1031" s="1266">
        <f t="shared" si="63"/>
        <v>38606.153854665041</v>
      </c>
      <c r="I1031" s="724">
        <f t="shared" si="64"/>
        <v>0</v>
      </c>
      <c r="J1031" s="724"/>
      <c r="K1031" s="869"/>
      <c r="L1031" s="729"/>
      <c r="M1031" s="869"/>
      <c r="N1031" s="729"/>
      <c r="O1031" s="729"/>
    </row>
    <row r="1032" spans="3:15">
      <c r="C1032" s="720">
        <f>IF(D987="","-",+C1031+1)</f>
        <v>2053</v>
      </c>
      <c r="D1032" s="673">
        <f t="shared" si="61"/>
        <v>115981.90909090836</v>
      </c>
      <c r="E1032" s="726">
        <f t="shared" si="65"/>
        <v>19330.31818181818</v>
      </c>
      <c r="F1032" s="673">
        <f t="shared" si="60"/>
        <v>96651.590909090184</v>
      </c>
      <c r="G1032" s="1263">
        <f t="shared" si="62"/>
        <v>35640.640674227048</v>
      </c>
      <c r="H1032" s="1266">
        <f t="shared" si="63"/>
        <v>35640.640674227048</v>
      </c>
      <c r="I1032" s="724">
        <f t="shared" si="64"/>
        <v>0</v>
      </c>
      <c r="J1032" s="724"/>
      <c r="K1032" s="869"/>
      <c r="L1032" s="729"/>
      <c r="M1032" s="869"/>
      <c r="N1032" s="729"/>
      <c r="O1032" s="729"/>
    </row>
    <row r="1033" spans="3:15">
      <c r="C1033" s="720">
        <f>IF(D987="","-",+C1032+1)</f>
        <v>2054</v>
      </c>
      <c r="D1033" s="673">
        <f t="shared" si="61"/>
        <v>96651.590909090184</v>
      </c>
      <c r="E1033" s="726">
        <f t="shared" si="65"/>
        <v>19330.31818181818</v>
      </c>
      <c r="F1033" s="673">
        <f t="shared" si="60"/>
        <v>77321.272727272008</v>
      </c>
      <c r="G1033" s="1263">
        <f t="shared" si="62"/>
        <v>32675.127493789048</v>
      </c>
      <c r="H1033" s="1266">
        <f t="shared" si="63"/>
        <v>32675.127493789048</v>
      </c>
      <c r="I1033" s="724">
        <f t="shared" si="64"/>
        <v>0</v>
      </c>
      <c r="J1033" s="724"/>
      <c r="K1033" s="869"/>
      <c r="L1033" s="729"/>
      <c r="M1033" s="869"/>
      <c r="N1033" s="729"/>
      <c r="O1033" s="729"/>
    </row>
    <row r="1034" spans="3:15">
      <c r="C1034" s="720">
        <f>IF(D987="","-",+C1033+1)</f>
        <v>2055</v>
      </c>
      <c r="D1034" s="673">
        <f t="shared" si="61"/>
        <v>77321.272727272008</v>
      </c>
      <c r="E1034" s="726">
        <f t="shared" si="65"/>
        <v>19330.31818181818</v>
      </c>
      <c r="F1034" s="673">
        <f t="shared" si="60"/>
        <v>57990.954545453831</v>
      </c>
      <c r="G1034" s="1263">
        <f t="shared" si="62"/>
        <v>29709.614313351056</v>
      </c>
      <c r="H1034" s="1266">
        <f t="shared" si="63"/>
        <v>29709.614313351056</v>
      </c>
      <c r="I1034" s="724">
        <f t="shared" si="64"/>
        <v>0</v>
      </c>
      <c r="J1034" s="724"/>
      <c r="K1034" s="869"/>
      <c r="L1034" s="729"/>
      <c r="M1034" s="869"/>
      <c r="N1034" s="729"/>
      <c r="O1034" s="729"/>
    </row>
    <row r="1035" spans="3:15">
      <c r="C1035" s="720">
        <f>IF(D987="","-",+C1034+1)</f>
        <v>2056</v>
      </c>
      <c r="D1035" s="673">
        <f t="shared" si="61"/>
        <v>57990.954545453831</v>
      </c>
      <c r="E1035" s="726">
        <f t="shared" si="65"/>
        <v>19330.31818181818</v>
      </c>
      <c r="F1035" s="673">
        <f t="shared" si="60"/>
        <v>38660.636363635655</v>
      </c>
      <c r="G1035" s="1263">
        <f t="shared" si="62"/>
        <v>26744.10113291306</v>
      </c>
      <c r="H1035" s="1266">
        <f t="shared" si="63"/>
        <v>26744.10113291306</v>
      </c>
      <c r="I1035" s="724">
        <f t="shared" si="64"/>
        <v>0</v>
      </c>
      <c r="J1035" s="724"/>
      <c r="K1035" s="869"/>
      <c r="L1035" s="729"/>
      <c r="M1035" s="869"/>
      <c r="N1035" s="729"/>
      <c r="O1035" s="729"/>
    </row>
    <row r="1036" spans="3:15">
      <c r="C1036" s="720">
        <f>IF(D987="","-",+C1035+1)</f>
        <v>2057</v>
      </c>
      <c r="D1036" s="673">
        <f t="shared" si="61"/>
        <v>38660.636363635655</v>
      </c>
      <c r="E1036" s="726">
        <f t="shared" si="65"/>
        <v>19330.31818181818</v>
      </c>
      <c r="F1036" s="673">
        <f t="shared" si="60"/>
        <v>19330.318181817474</v>
      </c>
      <c r="G1036" s="1263">
        <f t="shared" si="62"/>
        <v>23778.587952475064</v>
      </c>
      <c r="H1036" s="1266">
        <f t="shared" si="63"/>
        <v>23778.587952475064</v>
      </c>
      <c r="I1036" s="724">
        <f t="shared" si="64"/>
        <v>0</v>
      </c>
      <c r="J1036" s="724"/>
      <c r="K1036" s="869"/>
      <c r="L1036" s="729"/>
      <c r="M1036" s="869"/>
      <c r="N1036" s="729"/>
      <c r="O1036" s="729"/>
    </row>
    <row r="1037" spans="3:15">
      <c r="C1037" s="720">
        <f>IF(D987="","-",+C1036+1)</f>
        <v>2058</v>
      </c>
      <c r="D1037" s="673">
        <f t="shared" si="61"/>
        <v>19330.318181817474</v>
      </c>
      <c r="E1037" s="726">
        <f t="shared" si="65"/>
        <v>19330.318181817474</v>
      </c>
      <c r="F1037" s="673">
        <f t="shared" si="60"/>
        <v>0</v>
      </c>
      <c r="G1037" s="1263">
        <f t="shared" si="62"/>
        <v>20813.07477203642</v>
      </c>
      <c r="H1037" s="1266">
        <f t="shared" si="63"/>
        <v>20813.07477203642</v>
      </c>
      <c r="I1037" s="724">
        <f t="shared" si="64"/>
        <v>0</v>
      </c>
      <c r="J1037" s="724"/>
      <c r="K1037" s="869"/>
      <c r="L1037" s="729"/>
      <c r="M1037" s="869"/>
      <c r="N1037" s="729"/>
      <c r="O1037" s="729"/>
    </row>
    <row r="1038" spans="3:15">
      <c r="C1038" s="720">
        <f>IF(D987="","-",+C1037+1)</f>
        <v>2059</v>
      </c>
      <c r="D1038" s="673">
        <f t="shared" si="61"/>
        <v>0</v>
      </c>
      <c r="E1038" s="726">
        <f t="shared" si="65"/>
        <v>0</v>
      </c>
      <c r="F1038" s="673">
        <f t="shared" si="60"/>
        <v>0</v>
      </c>
      <c r="G1038" s="1263">
        <f t="shared" si="62"/>
        <v>0</v>
      </c>
      <c r="H1038" s="1266">
        <f t="shared" si="63"/>
        <v>0</v>
      </c>
      <c r="I1038" s="724">
        <f t="shared" si="64"/>
        <v>0</v>
      </c>
      <c r="J1038" s="724"/>
      <c r="K1038" s="869"/>
      <c r="L1038" s="729"/>
      <c r="M1038" s="869"/>
      <c r="N1038" s="729"/>
      <c r="O1038" s="729"/>
    </row>
    <row r="1039" spans="3:15">
      <c r="C1039" s="720">
        <f>IF(D987="","-",+C1038+1)</f>
        <v>2060</v>
      </c>
      <c r="D1039" s="673">
        <f t="shared" si="61"/>
        <v>0</v>
      </c>
      <c r="E1039" s="726">
        <f t="shared" si="65"/>
        <v>0</v>
      </c>
      <c r="F1039" s="673">
        <f t="shared" si="60"/>
        <v>0</v>
      </c>
      <c r="G1039" s="1263">
        <f t="shared" si="62"/>
        <v>0</v>
      </c>
      <c r="H1039" s="1266">
        <f t="shared" si="63"/>
        <v>0</v>
      </c>
      <c r="I1039" s="724">
        <f t="shared" si="64"/>
        <v>0</v>
      </c>
      <c r="J1039" s="724"/>
      <c r="K1039" s="869"/>
      <c r="L1039" s="729"/>
      <c r="M1039" s="869"/>
      <c r="N1039" s="729"/>
      <c r="O1039" s="729"/>
    </row>
    <row r="1040" spans="3:15">
      <c r="C1040" s="720">
        <f>IF(D987="","-",+C1039+1)</f>
        <v>2061</v>
      </c>
      <c r="D1040" s="673">
        <f t="shared" si="61"/>
        <v>0</v>
      </c>
      <c r="E1040" s="726">
        <f t="shared" si="65"/>
        <v>0</v>
      </c>
      <c r="F1040" s="673">
        <f t="shared" si="60"/>
        <v>0</v>
      </c>
      <c r="G1040" s="1263">
        <f t="shared" si="62"/>
        <v>0</v>
      </c>
      <c r="H1040" s="1266">
        <f t="shared" si="63"/>
        <v>0</v>
      </c>
      <c r="I1040" s="724">
        <f t="shared" si="64"/>
        <v>0</v>
      </c>
      <c r="J1040" s="724"/>
      <c r="K1040" s="869"/>
      <c r="L1040" s="729"/>
      <c r="M1040" s="869"/>
      <c r="N1040" s="729"/>
      <c r="O1040" s="729"/>
    </row>
    <row r="1041" spans="3:15">
      <c r="C1041" s="720">
        <f>IF(D987="","-",+C1040+1)</f>
        <v>2062</v>
      </c>
      <c r="D1041" s="673">
        <f t="shared" si="61"/>
        <v>0</v>
      </c>
      <c r="E1041" s="726">
        <f t="shared" si="65"/>
        <v>0</v>
      </c>
      <c r="F1041" s="673">
        <f t="shared" si="60"/>
        <v>0</v>
      </c>
      <c r="G1041" s="1263">
        <f t="shared" si="62"/>
        <v>0</v>
      </c>
      <c r="H1041" s="1266">
        <f t="shared" si="63"/>
        <v>0</v>
      </c>
      <c r="I1041" s="724">
        <f t="shared" si="64"/>
        <v>0</v>
      </c>
      <c r="J1041" s="724"/>
      <c r="K1041" s="869"/>
      <c r="L1041" s="729"/>
      <c r="M1041" s="869"/>
      <c r="N1041" s="729"/>
      <c r="O1041" s="729"/>
    </row>
    <row r="1042" spans="3:15">
      <c r="C1042" s="720">
        <f>IF(D987="","-",+C1041+1)</f>
        <v>2063</v>
      </c>
      <c r="D1042" s="673">
        <f t="shared" si="61"/>
        <v>0</v>
      </c>
      <c r="E1042" s="726">
        <f t="shared" si="65"/>
        <v>0</v>
      </c>
      <c r="F1042" s="673">
        <f t="shared" si="60"/>
        <v>0</v>
      </c>
      <c r="G1042" s="1263">
        <f t="shared" si="62"/>
        <v>0</v>
      </c>
      <c r="H1042" s="1266">
        <f t="shared" si="63"/>
        <v>0</v>
      </c>
      <c r="I1042" s="724">
        <f t="shared" si="64"/>
        <v>0</v>
      </c>
      <c r="J1042" s="724"/>
      <c r="K1042" s="869"/>
      <c r="L1042" s="729"/>
      <c r="M1042" s="869"/>
      <c r="N1042" s="729"/>
      <c r="O1042" s="729"/>
    </row>
    <row r="1043" spans="3:15">
      <c r="C1043" s="720">
        <f>IF(D987="","-",+C1042+1)</f>
        <v>2064</v>
      </c>
      <c r="D1043" s="673">
        <f t="shared" si="61"/>
        <v>0</v>
      </c>
      <c r="E1043" s="726">
        <f t="shared" si="65"/>
        <v>0</v>
      </c>
      <c r="F1043" s="673">
        <f t="shared" si="60"/>
        <v>0</v>
      </c>
      <c r="G1043" s="1263">
        <f t="shared" si="62"/>
        <v>0</v>
      </c>
      <c r="H1043" s="1266">
        <f t="shared" si="63"/>
        <v>0</v>
      </c>
      <c r="I1043" s="724">
        <f t="shared" si="64"/>
        <v>0</v>
      </c>
      <c r="J1043" s="724"/>
      <c r="K1043" s="869"/>
      <c r="L1043" s="729"/>
      <c r="M1043" s="869"/>
      <c r="N1043" s="729"/>
      <c r="O1043" s="729"/>
    </row>
    <row r="1044" spans="3:15">
      <c r="C1044" s="720">
        <f>IF(D987="","-",+C1043+1)</f>
        <v>2065</v>
      </c>
      <c r="D1044" s="673">
        <f t="shared" si="61"/>
        <v>0</v>
      </c>
      <c r="E1044" s="726">
        <f t="shared" si="65"/>
        <v>0</v>
      </c>
      <c r="F1044" s="673">
        <f t="shared" si="60"/>
        <v>0</v>
      </c>
      <c r="G1044" s="1263">
        <f t="shared" si="62"/>
        <v>0</v>
      </c>
      <c r="H1044" s="1266">
        <f t="shared" si="63"/>
        <v>0</v>
      </c>
      <c r="I1044" s="724">
        <f t="shared" si="64"/>
        <v>0</v>
      </c>
      <c r="J1044" s="724"/>
      <c r="K1044" s="869"/>
      <c r="L1044" s="729"/>
      <c r="M1044" s="869"/>
      <c r="N1044" s="729"/>
      <c r="O1044" s="729"/>
    </row>
    <row r="1045" spans="3:15">
      <c r="C1045" s="720">
        <f>IF(D987="","-",+C1044+1)</f>
        <v>2066</v>
      </c>
      <c r="D1045" s="673">
        <f t="shared" si="61"/>
        <v>0</v>
      </c>
      <c r="E1045" s="726">
        <f t="shared" si="65"/>
        <v>0</v>
      </c>
      <c r="F1045" s="673">
        <f t="shared" si="60"/>
        <v>0</v>
      </c>
      <c r="G1045" s="1263">
        <f t="shared" si="62"/>
        <v>0</v>
      </c>
      <c r="H1045" s="1266">
        <f t="shared" si="63"/>
        <v>0</v>
      </c>
      <c r="I1045" s="724">
        <f t="shared" si="64"/>
        <v>0</v>
      </c>
      <c r="J1045" s="724"/>
      <c r="K1045" s="869"/>
      <c r="L1045" s="729"/>
      <c r="M1045" s="869"/>
      <c r="N1045" s="729"/>
      <c r="O1045" s="729"/>
    </row>
    <row r="1046" spans="3:15">
      <c r="C1046" s="720">
        <f>IF(D987="","-",+C1045+1)</f>
        <v>2067</v>
      </c>
      <c r="D1046" s="673">
        <f t="shared" si="61"/>
        <v>0</v>
      </c>
      <c r="E1046" s="726">
        <f t="shared" si="65"/>
        <v>0</v>
      </c>
      <c r="F1046" s="673">
        <f t="shared" si="60"/>
        <v>0</v>
      </c>
      <c r="G1046" s="1263">
        <f t="shared" si="62"/>
        <v>0</v>
      </c>
      <c r="H1046" s="1266">
        <f t="shared" si="63"/>
        <v>0</v>
      </c>
      <c r="I1046" s="724">
        <f t="shared" si="64"/>
        <v>0</v>
      </c>
      <c r="J1046" s="724"/>
      <c r="K1046" s="869"/>
      <c r="L1046" s="729"/>
      <c r="M1046" s="869"/>
      <c r="N1046" s="729"/>
      <c r="O1046" s="729"/>
    </row>
    <row r="1047" spans="3:15">
      <c r="C1047" s="720">
        <f>IF(D987="","-",+C1046+1)</f>
        <v>2068</v>
      </c>
      <c r="D1047" s="673">
        <f t="shared" si="61"/>
        <v>0</v>
      </c>
      <c r="E1047" s="726">
        <f t="shared" si="65"/>
        <v>0</v>
      </c>
      <c r="F1047" s="673">
        <f t="shared" si="60"/>
        <v>0</v>
      </c>
      <c r="G1047" s="1263">
        <f t="shared" si="62"/>
        <v>0</v>
      </c>
      <c r="H1047" s="1266">
        <f t="shared" si="63"/>
        <v>0</v>
      </c>
      <c r="I1047" s="724">
        <f t="shared" si="64"/>
        <v>0</v>
      </c>
      <c r="J1047" s="724"/>
      <c r="K1047" s="869"/>
      <c r="L1047" s="729"/>
      <c r="M1047" s="869"/>
      <c r="N1047" s="729"/>
      <c r="O1047" s="729"/>
    </row>
    <row r="1048" spans="3:15">
      <c r="C1048" s="720">
        <f>IF(D987="","-",+C1047+1)</f>
        <v>2069</v>
      </c>
      <c r="D1048" s="673">
        <f t="shared" si="61"/>
        <v>0</v>
      </c>
      <c r="E1048" s="726">
        <f t="shared" si="65"/>
        <v>0</v>
      </c>
      <c r="F1048" s="673">
        <f t="shared" si="60"/>
        <v>0</v>
      </c>
      <c r="G1048" s="1263">
        <f t="shared" si="62"/>
        <v>0</v>
      </c>
      <c r="H1048" s="1266">
        <f t="shared" si="63"/>
        <v>0</v>
      </c>
      <c r="I1048" s="724">
        <f t="shared" si="64"/>
        <v>0</v>
      </c>
      <c r="J1048" s="724"/>
      <c r="K1048" s="869"/>
      <c r="L1048" s="729"/>
      <c r="M1048" s="869"/>
      <c r="N1048" s="729"/>
      <c r="O1048" s="729"/>
    </row>
    <row r="1049" spans="3:15">
      <c r="C1049" s="720">
        <f>IF(D987="","-",+C1048+1)</f>
        <v>2070</v>
      </c>
      <c r="D1049" s="673">
        <f t="shared" si="61"/>
        <v>0</v>
      </c>
      <c r="E1049" s="726">
        <f t="shared" si="65"/>
        <v>0</v>
      </c>
      <c r="F1049" s="673">
        <f t="shared" si="60"/>
        <v>0</v>
      </c>
      <c r="G1049" s="1263">
        <f t="shared" si="62"/>
        <v>0</v>
      </c>
      <c r="H1049" s="1266">
        <f t="shared" si="63"/>
        <v>0</v>
      </c>
      <c r="I1049" s="724">
        <f t="shared" si="64"/>
        <v>0</v>
      </c>
      <c r="J1049" s="724"/>
      <c r="K1049" s="869"/>
      <c r="L1049" s="729"/>
      <c r="M1049" s="869"/>
      <c r="N1049" s="729"/>
      <c r="O1049" s="729"/>
    </row>
    <row r="1050" spans="3:15">
      <c r="C1050" s="720">
        <f>IF(D987="","-",+C1049+1)</f>
        <v>2071</v>
      </c>
      <c r="D1050" s="673">
        <f t="shared" si="61"/>
        <v>0</v>
      </c>
      <c r="E1050" s="726">
        <f t="shared" si="65"/>
        <v>0</v>
      </c>
      <c r="F1050" s="673">
        <f t="shared" si="60"/>
        <v>0</v>
      </c>
      <c r="G1050" s="1263">
        <f t="shared" si="62"/>
        <v>0</v>
      </c>
      <c r="H1050" s="1266">
        <f t="shared" si="63"/>
        <v>0</v>
      </c>
      <c r="I1050" s="724">
        <f t="shared" si="64"/>
        <v>0</v>
      </c>
      <c r="J1050" s="724"/>
      <c r="K1050" s="869"/>
      <c r="L1050" s="729"/>
      <c r="M1050" s="869"/>
      <c r="N1050" s="729"/>
      <c r="O1050" s="729"/>
    </row>
    <row r="1051" spans="3:15">
      <c r="C1051" s="720">
        <f>IF(D987="","-",+C1050+1)</f>
        <v>2072</v>
      </c>
      <c r="D1051" s="673">
        <f t="shared" si="61"/>
        <v>0</v>
      </c>
      <c r="E1051" s="726">
        <f t="shared" si="65"/>
        <v>0</v>
      </c>
      <c r="F1051" s="673">
        <f t="shared" si="60"/>
        <v>0</v>
      </c>
      <c r="G1051" s="1263">
        <f t="shared" si="62"/>
        <v>0</v>
      </c>
      <c r="H1051" s="1266">
        <f t="shared" si="63"/>
        <v>0</v>
      </c>
      <c r="I1051" s="724">
        <f t="shared" si="64"/>
        <v>0</v>
      </c>
      <c r="J1051" s="724"/>
      <c r="K1051" s="869"/>
      <c r="L1051" s="729"/>
      <c r="M1051" s="869"/>
      <c r="N1051" s="729"/>
      <c r="O1051" s="729"/>
    </row>
    <row r="1052" spans="3:15" ht="13.5" thickBot="1">
      <c r="C1052" s="730">
        <f>IF(D987="","-",+C1051+1)</f>
        <v>2073</v>
      </c>
      <c r="D1052" s="731">
        <f t="shared" si="61"/>
        <v>0</v>
      </c>
      <c r="E1052" s="732">
        <f t="shared" si="65"/>
        <v>0</v>
      </c>
      <c r="F1052" s="731">
        <f t="shared" si="60"/>
        <v>0</v>
      </c>
      <c r="G1052" s="1274">
        <f t="shared" si="62"/>
        <v>0</v>
      </c>
      <c r="H1052" s="1274">
        <f t="shared" si="63"/>
        <v>0</v>
      </c>
      <c r="I1052" s="734">
        <f t="shared" si="64"/>
        <v>0</v>
      </c>
      <c r="J1052" s="724"/>
      <c r="K1052" s="870"/>
      <c r="L1052" s="736"/>
      <c r="M1052" s="870"/>
      <c r="N1052" s="736"/>
      <c r="O1052" s="736"/>
    </row>
    <row r="1053" spans="3:15">
      <c r="C1053" s="673" t="s">
        <v>288</v>
      </c>
      <c r="D1053" s="1242"/>
      <c r="E1053" s="673"/>
      <c r="F1053" s="1242"/>
      <c r="G1053" s="1242">
        <f>SUM(G993:G1052)</f>
        <v>3851633.3386032465</v>
      </c>
      <c r="H1053" s="1242">
        <f>SUM(H993:H1052)</f>
        <v>3851633.3386032465</v>
      </c>
      <c r="I1053" s="1242">
        <f>SUM(I993:I1052)</f>
        <v>0</v>
      </c>
      <c r="J1053" s="1242"/>
      <c r="K1053" s="1242"/>
      <c r="L1053" s="1242"/>
      <c r="M1053" s="1242"/>
      <c r="N1053" s="1242"/>
      <c r="O1053" s="542"/>
    </row>
    <row r="1054" spans="3:15">
      <c r="D1054" s="563"/>
      <c r="E1054" s="542"/>
      <c r="F1054" s="542"/>
      <c r="G1054" s="542"/>
      <c r="H1054" s="1241"/>
      <c r="I1054" s="1241"/>
      <c r="J1054" s="1242"/>
      <c r="K1054" s="1241"/>
      <c r="L1054" s="1241"/>
      <c r="M1054" s="1241"/>
      <c r="N1054" s="1241"/>
      <c r="O1054" s="542"/>
    </row>
    <row r="1055" spans="3:15">
      <c r="C1055" s="542" t="s">
        <v>595</v>
      </c>
      <c r="D1055" s="563"/>
      <c r="E1055" s="542"/>
      <c r="F1055" s="542"/>
      <c r="G1055" s="542"/>
      <c r="H1055" s="1241"/>
      <c r="I1055" s="1241"/>
      <c r="J1055" s="1242"/>
      <c r="K1055" s="1241"/>
      <c r="L1055" s="1241"/>
      <c r="M1055" s="1241"/>
      <c r="N1055" s="1241"/>
      <c r="O1055" s="542"/>
    </row>
    <row r="1056" spans="3:15">
      <c r="C1056" s="542"/>
      <c r="D1056" s="563"/>
      <c r="E1056" s="542"/>
      <c r="F1056" s="542"/>
      <c r="G1056" s="542"/>
      <c r="H1056" s="1241"/>
      <c r="I1056" s="1241"/>
      <c r="J1056" s="1242"/>
      <c r="K1056" s="1241"/>
      <c r="L1056" s="1241"/>
      <c r="M1056" s="1241"/>
      <c r="N1056" s="1241"/>
      <c r="O1056" s="542"/>
    </row>
    <row r="1057" spans="1:16">
      <c r="C1057" s="684" t="s">
        <v>934</v>
      </c>
      <c r="D1057" s="673"/>
      <c r="E1057" s="673"/>
      <c r="F1057" s="673"/>
      <c r="G1057" s="1242"/>
      <c r="H1057" s="1242"/>
      <c r="I1057" s="674"/>
      <c r="J1057" s="674"/>
      <c r="K1057" s="674"/>
      <c r="L1057" s="674"/>
      <c r="M1057" s="674"/>
      <c r="N1057" s="674"/>
      <c r="O1057" s="542"/>
    </row>
    <row r="1058" spans="1:16">
      <c r="C1058" s="684" t="s">
        <v>476</v>
      </c>
      <c r="D1058" s="673"/>
      <c r="E1058" s="673"/>
      <c r="F1058" s="673"/>
      <c r="G1058" s="1242"/>
      <c r="H1058" s="1242"/>
      <c r="I1058" s="674"/>
      <c r="J1058" s="674"/>
      <c r="K1058" s="674"/>
      <c r="L1058" s="674"/>
      <c r="M1058" s="674"/>
      <c r="N1058" s="674"/>
      <c r="O1058" s="542"/>
    </row>
    <row r="1059" spans="1:16">
      <c r="C1059" s="672" t="s">
        <v>289</v>
      </c>
      <c r="D1059" s="673"/>
      <c r="E1059" s="673"/>
      <c r="F1059" s="673"/>
      <c r="G1059" s="1242"/>
      <c r="H1059" s="1242"/>
      <c r="I1059" s="674"/>
      <c r="J1059" s="674"/>
      <c r="K1059" s="674"/>
      <c r="L1059" s="674"/>
      <c r="M1059" s="674"/>
      <c r="N1059" s="674"/>
      <c r="O1059" s="542"/>
    </row>
    <row r="1060" spans="1:16">
      <c r="C1060" s="672"/>
      <c r="D1060" s="673"/>
      <c r="E1060" s="673"/>
      <c r="F1060" s="673"/>
      <c r="G1060" s="1242"/>
      <c r="H1060" s="1242"/>
      <c r="I1060" s="674"/>
      <c r="J1060" s="674"/>
      <c r="K1060" s="674"/>
      <c r="L1060" s="674"/>
      <c r="M1060" s="674"/>
      <c r="N1060" s="674"/>
      <c r="O1060" s="542"/>
    </row>
    <row r="1061" spans="1:16">
      <c r="C1061" s="1701" t="s">
        <v>460</v>
      </c>
      <c r="D1061" s="1701"/>
      <c r="E1061" s="1701"/>
      <c r="F1061" s="1701"/>
      <c r="G1061" s="1701"/>
      <c r="H1061" s="1701"/>
      <c r="I1061" s="1701"/>
      <c r="J1061" s="1701"/>
      <c r="K1061" s="1701"/>
      <c r="L1061" s="1701"/>
      <c r="M1061" s="1701"/>
      <c r="N1061" s="1701"/>
      <c r="O1061" s="1701"/>
    </row>
    <row r="1062" spans="1:16">
      <c r="C1062" s="1701"/>
      <c r="D1062" s="1701"/>
      <c r="E1062" s="1701"/>
      <c r="F1062" s="1701"/>
      <c r="G1062" s="1701"/>
      <c r="H1062" s="1701"/>
      <c r="I1062" s="1701"/>
      <c r="J1062" s="1701"/>
      <c r="K1062" s="1701"/>
      <c r="L1062" s="1701"/>
      <c r="M1062" s="1701"/>
      <c r="N1062" s="1701"/>
      <c r="O1062" s="1701"/>
    </row>
    <row r="1063" spans="1:16" ht="20.25">
      <c r="A1063" s="675" t="s">
        <v>931</v>
      </c>
      <c r="B1063" s="576"/>
      <c r="C1063" s="655"/>
      <c r="D1063" s="563"/>
      <c r="E1063" s="542"/>
      <c r="F1063" s="645"/>
      <c r="G1063" s="542"/>
      <c r="H1063" s="1241"/>
      <c r="K1063" s="676"/>
      <c r="L1063" s="676"/>
      <c r="M1063" s="676"/>
      <c r="N1063" s="591" t="str">
        <f>"Page "&amp;SUM(P$6:P1063)&amp;" of "</f>
        <v xml:space="preserve">Page 12 of </v>
      </c>
      <c r="O1063" s="592">
        <f>COUNT(P$6:P$59579)</f>
        <v>22</v>
      </c>
      <c r="P1063" s="542">
        <v>1</v>
      </c>
    </row>
    <row r="1064" spans="1:16">
      <c r="B1064" s="576"/>
      <c r="C1064" s="542"/>
      <c r="D1064" s="563"/>
      <c r="E1064" s="542"/>
      <c r="F1064" s="542"/>
      <c r="G1064" s="542"/>
      <c r="H1064" s="1241"/>
      <c r="I1064" s="542"/>
      <c r="J1064" s="588"/>
      <c r="K1064" s="542"/>
      <c r="L1064" s="542"/>
      <c r="M1064" s="542"/>
      <c r="N1064" s="542"/>
      <c r="O1064" s="542"/>
    </row>
    <row r="1065" spans="1:16" ht="18">
      <c r="B1065" s="595" t="s">
        <v>174</v>
      </c>
      <c r="C1065" s="677" t="s">
        <v>290</v>
      </c>
      <c r="D1065" s="563"/>
      <c r="E1065" s="542"/>
      <c r="F1065" s="542"/>
      <c r="G1065" s="542"/>
      <c r="H1065" s="1241"/>
      <c r="I1065" s="1241"/>
      <c r="J1065" s="1242"/>
      <c r="K1065" s="1241"/>
      <c r="L1065" s="1241"/>
      <c r="M1065" s="1241"/>
      <c r="N1065" s="1241"/>
      <c r="O1065" s="542"/>
    </row>
    <row r="1066" spans="1:16" ht="18.75">
      <c r="B1066" s="595"/>
      <c r="C1066" s="594"/>
      <c r="D1066" s="563"/>
      <c r="E1066" s="542"/>
      <c r="F1066" s="542"/>
      <c r="G1066" s="542"/>
      <c r="H1066" s="1241"/>
      <c r="I1066" s="1241"/>
      <c r="J1066" s="1242"/>
      <c r="K1066" s="1241"/>
      <c r="L1066" s="1241"/>
      <c r="M1066" s="1241"/>
      <c r="N1066" s="1241"/>
      <c r="O1066" s="542"/>
    </row>
    <row r="1067" spans="1:16" ht="18.75">
      <c r="B1067" s="595"/>
      <c r="C1067" s="594" t="s">
        <v>291</v>
      </c>
      <c r="D1067" s="563"/>
      <c r="E1067" s="542"/>
      <c r="F1067" s="542"/>
      <c r="G1067" s="542"/>
      <c r="H1067" s="1241"/>
      <c r="I1067" s="1241"/>
      <c r="J1067" s="1242"/>
      <c r="K1067" s="1241"/>
      <c r="L1067" s="1241"/>
      <c r="M1067" s="1241"/>
      <c r="N1067" s="1241"/>
      <c r="O1067" s="542"/>
    </row>
    <row r="1068" spans="1:16" ht="15.75" thickBot="1">
      <c r="C1068" s="396"/>
      <c r="D1068" s="563"/>
      <c r="E1068" s="542"/>
      <c r="F1068" s="542"/>
      <c r="G1068" s="542"/>
      <c r="H1068" s="1241"/>
      <c r="I1068" s="1241"/>
      <c r="J1068" s="1242"/>
      <c r="K1068" s="1241"/>
      <c r="L1068" s="1241"/>
      <c r="M1068" s="1241"/>
      <c r="N1068" s="1241"/>
      <c r="O1068" s="542"/>
    </row>
    <row r="1069" spans="1:16" ht="15.75">
      <c r="C1069" s="596" t="s">
        <v>292</v>
      </c>
      <c r="D1069" s="563"/>
      <c r="E1069" s="542"/>
      <c r="F1069" s="542"/>
      <c r="G1069" s="1276"/>
      <c r="H1069" s="542" t="s">
        <v>271</v>
      </c>
      <c r="I1069" s="542"/>
      <c r="J1069" s="588"/>
      <c r="K1069" s="678" t="s">
        <v>296</v>
      </c>
      <c r="L1069" s="679"/>
      <c r="M1069" s="680"/>
      <c r="N1069" s="1244">
        <f>VLOOKUP(I1075,C1082:O1141,5)</f>
        <v>1179574.7634716779</v>
      </c>
      <c r="O1069" s="542"/>
    </row>
    <row r="1070" spans="1:16" ht="15.75">
      <c r="C1070" s="596"/>
      <c r="D1070" s="563"/>
      <c r="E1070" s="542"/>
      <c r="F1070" s="542"/>
      <c r="G1070" s="542"/>
      <c r="H1070" s="1245"/>
      <c r="I1070" s="1245"/>
      <c r="J1070" s="1246"/>
      <c r="K1070" s="683" t="s">
        <v>297</v>
      </c>
      <c r="L1070" s="1247"/>
      <c r="M1070" s="588"/>
      <c r="N1070" s="1248">
        <f>VLOOKUP(I1075,C1082:O1141,6)</f>
        <v>1179574.7634716779</v>
      </c>
      <c r="O1070" s="542"/>
    </row>
    <row r="1071" spans="1:16" ht="13.5" thickBot="1">
      <c r="C1071" s="684" t="s">
        <v>293</v>
      </c>
      <c r="D1071" s="1703" t="s">
        <v>945</v>
      </c>
      <c r="E1071" s="1703"/>
      <c r="F1071" s="1703"/>
      <c r="G1071" s="1703"/>
      <c r="H1071" s="1703"/>
      <c r="I1071" s="1703"/>
      <c r="J1071" s="1242"/>
      <c r="K1071" s="1249" t="s">
        <v>450</v>
      </c>
      <c r="L1071" s="1250"/>
      <c r="M1071" s="1250"/>
      <c r="N1071" s="1251">
        <f>+N1070-N1069</f>
        <v>0</v>
      </c>
      <c r="O1071" s="542"/>
    </row>
    <row r="1072" spans="1:16">
      <c r="C1072" s="686"/>
      <c r="D1072" s="687"/>
      <c r="E1072" s="671"/>
      <c r="F1072" s="671"/>
      <c r="G1072" s="688"/>
      <c r="H1072" s="1241"/>
      <c r="I1072" s="1241"/>
      <c r="J1072" s="1242"/>
      <c r="K1072" s="1241"/>
      <c r="L1072" s="1241"/>
      <c r="M1072" s="1241"/>
      <c r="N1072" s="1241"/>
      <c r="O1072" s="542"/>
    </row>
    <row r="1073" spans="1:15" ht="13.5" thickBot="1">
      <c r="C1073" s="689"/>
      <c r="D1073" s="1252"/>
      <c r="E1073" s="688"/>
      <c r="F1073" s="688"/>
      <c r="G1073" s="688"/>
      <c r="H1073" s="688"/>
      <c r="I1073" s="688"/>
      <c r="J1073" s="691"/>
      <c r="K1073" s="688"/>
      <c r="L1073" s="688"/>
      <c r="M1073" s="688"/>
      <c r="N1073" s="688"/>
      <c r="O1073" s="576"/>
    </row>
    <row r="1074" spans="1:15" ht="13.5" thickBot="1">
      <c r="C1074" s="692" t="s">
        <v>294</v>
      </c>
      <c r="D1074" s="693"/>
      <c r="E1074" s="693"/>
      <c r="F1074" s="693"/>
      <c r="G1074" s="693"/>
      <c r="H1074" s="693"/>
      <c r="I1074" s="694"/>
      <c r="J1074" s="695"/>
      <c r="K1074" s="542"/>
      <c r="L1074" s="542"/>
      <c r="M1074" s="542"/>
      <c r="N1074" s="542"/>
      <c r="O1074" s="696"/>
    </row>
    <row r="1075" spans="1:15" ht="15">
      <c r="C1075" s="697" t="s">
        <v>272</v>
      </c>
      <c r="D1075" s="1253">
        <v>7169898</v>
      </c>
      <c r="E1075" s="655" t="s">
        <v>273</v>
      </c>
      <c r="G1075" s="698"/>
      <c r="H1075" s="698"/>
      <c r="I1075" s="699">
        <v>2018</v>
      </c>
      <c r="J1075" s="586"/>
      <c r="K1075" s="1702" t="s">
        <v>459</v>
      </c>
      <c r="L1075" s="1702"/>
      <c r="M1075" s="1702"/>
      <c r="N1075" s="1702"/>
      <c r="O1075" s="1702"/>
    </row>
    <row r="1076" spans="1:15">
      <c r="C1076" s="697" t="s">
        <v>275</v>
      </c>
      <c r="D1076" s="865">
        <v>2015</v>
      </c>
      <c r="E1076" s="697" t="s">
        <v>276</v>
      </c>
      <c r="F1076" s="698"/>
      <c r="H1076" s="330"/>
      <c r="I1076" s="1254">
        <f>IF(G1069="",0,$F$15)</f>
        <v>0</v>
      </c>
      <c r="J1076" s="700"/>
      <c r="K1076" s="1242" t="s">
        <v>459</v>
      </c>
    </row>
    <row r="1077" spans="1:15">
      <c r="C1077" s="697" t="s">
        <v>277</v>
      </c>
      <c r="D1077" s="1253">
        <v>2</v>
      </c>
      <c r="E1077" s="697" t="s">
        <v>278</v>
      </c>
      <c r="F1077" s="698"/>
      <c r="H1077" s="330"/>
      <c r="I1077" s="701">
        <f>$G$70</f>
        <v>0.15341253840442806</v>
      </c>
      <c r="J1077" s="702"/>
      <c r="K1077" s="330" t="str">
        <f>"          INPUT PROJECTED ARR (WITH &amp; WITHOUT INCENTIVES) FROM EACH PRIOR YEAR"</f>
        <v xml:space="preserve">          INPUT PROJECTED ARR (WITH &amp; WITHOUT INCENTIVES) FROM EACH PRIOR YEAR</v>
      </c>
    </row>
    <row r="1078" spans="1:15">
      <c r="C1078" s="697" t="s">
        <v>279</v>
      </c>
      <c r="D1078" s="703">
        <f>G$79</f>
        <v>44</v>
      </c>
      <c r="E1078" s="697" t="s">
        <v>280</v>
      </c>
      <c r="F1078" s="698"/>
      <c r="H1078" s="330"/>
      <c r="I1078" s="701">
        <f>IF(G1069="",I1077,$G$67)</f>
        <v>0.15341253840442806</v>
      </c>
      <c r="J1078" s="704"/>
      <c r="K1078" s="330" t="s">
        <v>357</v>
      </c>
    </row>
    <row r="1079" spans="1:15" ht="13.5" thickBot="1">
      <c r="C1079" s="697" t="s">
        <v>281</v>
      </c>
      <c r="D1079" s="866" t="s">
        <v>933</v>
      </c>
      <c r="E1079" s="705" t="s">
        <v>282</v>
      </c>
      <c r="F1079" s="706"/>
      <c r="G1079" s="707"/>
      <c r="H1079" s="707"/>
      <c r="I1079" s="1251">
        <f>IF(D1075=0,0,D1075/D1078)</f>
        <v>162952.22727272726</v>
      </c>
      <c r="J1079" s="1242"/>
      <c r="K1079" s="1242" t="s">
        <v>363</v>
      </c>
      <c r="L1079" s="1242"/>
      <c r="M1079" s="1242"/>
      <c r="N1079" s="1242"/>
      <c r="O1079" s="588"/>
    </row>
    <row r="1080" spans="1:15" ht="51">
      <c r="A1080" s="529"/>
      <c r="B1080" s="1255"/>
      <c r="C1080" s="708" t="s">
        <v>272</v>
      </c>
      <c r="D1080" s="1256" t="s">
        <v>283</v>
      </c>
      <c r="E1080" s="1257" t="s">
        <v>284</v>
      </c>
      <c r="F1080" s="1256" t="s">
        <v>285</v>
      </c>
      <c r="G1080" s="1257" t="s">
        <v>356</v>
      </c>
      <c r="H1080" s="1258" t="s">
        <v>356</v>
      </c>
      <c r="I1080" s="708" t="s">
        <v>295</v>
      </c>
      <c r="J1080" s="712"/>
      <c r="K1080" s="1257" t="s">
        <v>365</v>
      </c>
      <c r="L1080" s="1259"/>
      <c r="M1080" s="1257" t="s">
        <v>365</v>
      </c>
      <c r="N1080" s="1259"/>
      <c r="O1080" s="1259"/>
    </row>
    <row r="1081" spans="1:15" ht="13.5" thickBot="1">
      <c r="C1081" s="714" t="s">
        <v>177</v>
      </c>
      <c r="D1081" s="715" t="s">
        <v>178</v>
      </c>
      <c r="E1081" s="714" t="s">
        <v>37</v>
      </c>
      <c r="F1081" s="715" t="s">
        <v>178</v>
      </c>
      <c r="G1081" s="1260" t="s">
        <v>298</v>
      </c>
      <c r="H1081" s="1261" t="s">
        <v>300</v>
      </c>
      <c r="I1081" s="718" t="s">
        <v>389</v>
      </c>
      <c r="J1081" s="719"/>
      <c r="K1081" s="1260" t="s">
        <v>287</v>
      </c>
      <c r="L1081" s="1262"/>
      <c r="M1081" s="1260" t="s">
        <v>300</v>
      </c>
      <c r="N1081" s="1262"/>
      <c r="O1081" s="1262"/>
    </row>
    <row r="1082" spans="1:15">
      <c r="C1082" s="720">
        <f>IF(D1076= "","-",D1076)</f>
        <v>2015</v>
      </c>
      <c r="D1082" s="673">
        <f>+D1075</f>
        <v>7169898</v>
      </c>
      <c r="E1082" s="1263">
        <f>+I1079/12*(12-D1077)</f>
        <v>135793.52272727271</v>
      </c>
      <c r="F1082" s="673">
        <f t="shared" ref="F1082:F1141" si="66">+D1082-E1082</f>
        <v>7034104.4772727275</v>
      </c>
      <c r="G1082" s="1264">
        <f>+$I$1077*((D1082+F1082)/2)+E1082</f>
        <v>1225329.5604978695</v>
      </c>
      <c r="H1082" s="1265">
        <f>$I$1078*((D1082+F1082)/2)+E1082</f>
        <v>1225329.5604978695</v>
      </c>
      <c r="I1082" s="724">
        <f>+H1082-G1082</f>
        <v>0</v>
      </c>
      <c r="J1082" s="724"/>
      <c r="K1082" s="868">
        <v>250071</v>
      </c>
      <c r="L1082" s="725"/>
      <c r="M1082" s="868">
        <v>250071</v>
      </c>
      <c r="N1082" s="725"/>
      <c r="O1082" s="725"/>
    </row>
    <row r="1083" spans="1:15">
      <c r="C1083" s="720">
        <f>IF(D1076="","-",+C1082+1)</f>
        <v>2016</v>
      </c>
      <c r="D1083" s="673">
        <f t="shared" ref="D1083:D1141" si="67">F1082</f>
        <v>7034104.4772727275</v>
      </c>
      <c r="E1083" s="726">
        <f>IF(D1083&gt;$I$1079,$I$1079,D1083)</f>
        <v>162952.22727272726</v>
      </c>
      <c r="F1083" s="673">
        <f t="shared" si="66"/>
        <v>6871152.25</v>
      </c>
      <c r="G1083" s="1263">
        <f t="shared" ref="G1083:G1141" si="68">+$I$1077*((D1083+F1083)/2)+E1083</f>
        <v>1229572.5931208066</v>
      </c>
      <c r="H1083" s="1266">
        <f t="shared" ref="H1083:H1141" si="69">$I$1078*((D1083+F1083)/2)+E1083</f>
        <v>1229572.5931208066</v>
      </c>
      <c r="I1083" s="724">
        <f t="shared" ref="I1083:I1141" si="70">+H1083-G1083</f>
        <v>0</v>
      </c>
      <c r="J1083" s="724"/>
      <c r="K1083" s="869">
        <v>77068</v>
      </c>
      <c r="L1083" s="729"/>
      <c r="M1083" s="869">
        <v>77068</v>
      </c>
      <c r="N1083" s="729"/>
      <c r="O1083" s="729"/>
    </row>
    <row r="1084" spans="1:15">
      <c r="C1084" s="720">
        <f>IF(D1076="","-",+C1083+1)</f>
        <v>2017</v>
      </c>
      <c r="D1084" s="673">
        <f t="shared" si="67"/>
        <v>6871152.25</v>
      </c>
      <c r="E1084" s="726">
        <f t="shared" ref="E1084:E1141" si="71">IF(D1084&gt;$I$1079,$I$1079,D1084)</f>
        <v>162952.22727272726</v>
      </c>
      <c r="F1084" s="673">
        <f t="shared" si="66"/>
        <v>6708200.0227272725</v>
      </c>
      <c r="G1084" s="1263">
        <f t="shared" si="68"/>
        <v>1204573.6782962424</v>
      </c>
      <c r="H1084" s="1266">
        <f t="shared" si="69"/>
        <v>1204573.6782962424</v>
      </c>
      <c r="I1084" s="724">
        <f t="shared" si="70"/>
        <v>0</v>
      </c>
      <c r="J1084" s="724"/>
      <c r="K1084" s="869">
        <v>123326</v>
      </c>
      <c r="L1084" s="729"/>
      <c r="M1084" s="869">
        <v>123326</v>
      </c>
      <c r="N1084" s="729"/>
      <c r="O1084" s="729"/>
    </row>
    <row r="1085" spans="1:15">
      <c r="C1085" s="1268">
        <f>IF(D1076="","-",+C1084+1)</f>
        <v>2018</v>
      </c>
      <c r="D1085" s="1269">
        <f t="shared" si="67"/>
        <v>6708200.0227272725</v>
      </c>
      <c r="E1085" s="1270">
        <f t="shared" si="71"/>
        <v>162952.22727272726</v>
      </c>
      <c r="F1085" s="1269">
        <f t="shared" si="66"/>
        <v>6545247.7954545449</v>
      </c>
      <c r="G1085" s="1271">
        <f t="shared" si="68"/>
        <v>1179574.7634716779</v>
      </c>
      <c r="H1085" s="1272">
        <f t="shared" si="69"/>
        <v>1179574.7634716779</v>
      </c>
      <c r="I1085" s="1273">
        <f t="shared" si="70"/>
        <v>0</v>
      </c>
      <c r="J1085" s="724"/>
      <c r="K1085" s="869"/>
      <c r="L1085" s="729"/>
      <c r="M1085" s="869"/>
      <c r="N1085" s="729"/>
      <c r="O1085" s="729"/>
    </row>
    <row r="1086" spans="1:15">
      <c r="C1086" s="720">
        <f>IF(D1076="","-",+C1085+1)</f>
        <v>2019</v>
      </c>
      <c r="D1086" s="673">
        <f t="shared" si="67"/>
        <v>6545247.7954545449</v>
      </c>
      <c r="E1086" s="726">
        <f t="shared" si="71"/>
        <v>162952.22727272726</v>
      </c>
      <c r="F1086" s="673">
        <f t="shared" si="66"/>
        <v>6382295.5681818174</v>
      </c>
      <c r="G1086" s="1263">
        <f t="shared" si="68"/>
        <v>1154575.8486471137</v>
      </c>
      <c r="H1086" s="1266">
        <f t="shared" si="69"/>
        <v>1154575.8486471137</v>
      </c>
      <c r="I1086" s="724">
        <f t="shared" si="70"/>
        <v>0</v>
      </c>
      <c r="J1086" s="724"/>
      <c r="K1086" s="869"/>
      <c r="L1086" s="729"/>
      <c r="M1086" s="869"/>
      <c r="N1086" s="729"/>
      <c r="O1086" s="729"/>
    </row>
    <row r="1087" spans="1:15">
      <c r="C1087" s="720">
        <f>IF(D1076="","-",+C1086+1)</f>
        <v>2020</v>
      </c>
      <c r="D1087" s="673">
        <f t="shared" si="67"/>
        <v>6382295.5681818174</v>
      </c>
      <c r="E1087" s="726">
        <f t="shared" si="71"/>
        <v>162952.22727272726</v>
      </c>
      <c r="F1087" s="673">
        <f t="shared" si="66"/>
        <v>6219343.3409090899</v>
      </c>
      <c r="G1087" s="1263">
        <f t="shared" si="68"/>
        <v>1129576.9338225489</v>
      </c>
      <c r="H1087" s="1266">
        <f t="shared" si="69"/>
        <v>1129576.9338225489</v>
      </c>
      <c r="I1087" s="724">
        <f t="shared" si="70"/>
        <v>0</v>
      </c>
      <c r="J1087" s="724"/>
      <c r="K1087" s="869"/>
      <c r="L1087" s="729"/>
      <c r="M1087" s="869"/>
      <c r="N1087" s="729"/>
      <c r="O1087" s="729"/>
    </row>
    <row r="1088" spans="1:15">
      <c r="C1088" s="720">
        <f>IF(D1076="","-",+C1087+1)</f>
        <v>2021</v>
      </c>
      <c r="D1088" s="673">
        <f t="shared" si="67"/>
        <v>6219343.3409090899</v>
      </c>
      <c r="E1088" s="726">
        <f t="shared" si="71"/>
        <v>162952.22727272726</v>
      </c>
      <c r="F1088" s="673">
        <f t="shared" si="66"/>
        <v>6056391.1136363624</v>
      </c>
      <c r="G1088" s="1263">
        <f t="shared" si="68"/>
        <v>1104578.0189979847</v>
      </c>
      <c r="H1088" s="1266">
        <f t="shared" si="69"/>
        <v>1104578.0189979847</v>
      </c>
      <c r="I1088" s="724">
        <f t="shared" si="70"/>
        <v>0</v>
      </c>
      <c r="J1088" s="724"/>
      <c r="K1088" s="869"/>
      <c r="L1088" s="729"/>
      <c r="M1088" s="869"/>
      <c r="N1088" s="729"/>
      <c r="O1088" s="729"/>
    </row>
    <row r="1089" spans="3:15">
      <c r="C1089" s="720">
        <f>IF(D1076="","-",+C1088+1)</f>
        <v>2022</v>
      </c>
      <c r="D1089" s="673">
        <f t="shared" si="67"/>
        <v>6056391.1136363624</v>
      </c>
      <c r="E1089" s="726">
        <f t="shared" si="71"/>
        <v>162952.22727272726</v>
      </c>
      <c r="F1089" s="673">
        <f t="shared" si="66"/>
        <v>5893438.8863636348</v>
      </c>
      <c r="G1089" s="1263">
        <f t="shared" si="68"/>
        <v>1079579.1041734202</v>
      </c>
      <c r="H1089" s="1266">
        <f t="shared" si="69"/>
        <v>1079579.1041734202</v>
      </c>
      <c r="I1089" s="724">
        <f t="shared" si="70"/>
        <v>0</v>
      </c>
      <c r="J1089" s="724"/>
      <c r="K1089" s="869"/>
      <c r="L1089" s="729"/>
      <c r="M1089" s="869"/>
      <c r="N1089" s="729"/>
      <c r="O1089" s="729"/>
    </row>
    <row r="1090" spans="3:15">
      <c r="C1090" s="720">
        <f>IF(D1076="","-",+C1089+1)</f>
        <v>2023</v>
      </c>
      <c r="D1090" s="673">
        <f t="shared" si="67"/>
        <v>5893438.8863636348</v>
      </c>
      <c r="E1090" s="726">
        <f t="shared" si="71"/>
        <v>162952.22727272726</v>
      </c>
      <c r="F1090" s="673">
        <f t="shared" si="66"/>
        <v>5730486.6590909073</v>
      </c>
      <c r="G1090" s="1263">
        <f t="shared" si="68"/>
        <v>1054580.189348856</v>
      </c>
      <c r="H1090" s="1266">
        <f t="shared" si="69"/>
        <v>1054580.189348856</v>
      </c>
      <c r="I1090" s="724">
        <f t="shared" si="70"/>
        <v>0</v>
      </c>
      <c r="J1090" s="724"/>
      <c r="K1090" s="869"/>
      <c r="L1090" s="729"/>
      <c r="M1090" s="869"/>
      <c r="N1090" s="729"/>
      <c r="O1090" s="729"/>
    </row>
    <row r="1091" spans="3:15">
      <c r="C1091" s="720">
        <f>IF(D1076="","-",+C1090+1)</f>
        <v>2024</v>
      </c>
      <c r="D1091" s="673">
        <f t="shared" si="67"/>
        <v>5730486.6590909073</v>
      </c>
      <c r="E1091" s="726">
        <f t="shared" si="71"/>
        <v>162952.22727272726</v>
      </c>
      <c r="F1091" s="673">
        <f t="shared" si="66"/>
        <v>5567534.4318181798</v>
      </c>
      <c r="G1091" s="1263">
        <f t="shared" si="68"/>
        <v>1029581.2745242915</v>
      </c>
      <c r="H1091" s="1266">
        <f t="shared" si="69"/>
        <v>1029581.2745242915</v>
      </c>
      <c r="I1091" s="724">
        <f t="shared" si="70"/>
        <v>0</v>
      </c>
      <c r="J1091" s="724"/>
      <c r="K1091" s="869"/>
      <c r="L1091" s="729"/>
      <c r="M1091" s="869"/>
      <c r="N1091" s="729"/>
      <c r="O1091" s="729"/>
    </row>
    <row r="1092" spans="3:15">
      <c r="C1092" s="720">
        <f>IF(D1076="","-",+C1091+1)</f>
        <v>2025</v>
      </c>
      <c r="D1092" s="673">
        <f t="shared" si="67"/>
        <v>5567534.4318181798</v>
      </c>
      <c r="E1092" s="726">
        <f t="shared" si="71"/>
        <v>162952.22727272726</v>
      </c>
      <c r="F1092" s="673">
        <f t="shared" si="66"/>
        <v>5404582.2045454523</v>
      </c>
      <c r="G1092" s="1263">
        <f t="shared" si="68"/>
        <v>1004582.3596997273</v>
      </c>
      <c r="H1092" s="1266">
        <f t="shared" si="69"/>
        <v>1004582.3596997273</v>
      </c>
      <c r="I1092" s="724">
        <f t="shared" si="70"/>
        <v>0</v>
      </c>
      <c r="J1092" s="724"/>
      <c r="K1092" s="869"/>
      <c r="L1092" s="729"/>
      <c r="M1092" s="869"/>
      <c r="N1092" s="729"/>
      <c r="O1092" s="729"/>
    </row>
    <row r="1093" spans="3:15">
      <c r="C1093" s="720">
        <f>IF(D1076="","-",+C1092+1)</f>
        <v>2026</v>
      </c>
      <c r="D1093" s="673">
        <f t="shared" si="67"/>
        <v>5404582.2045454523</v>
      </c>
      <c r="E1093" s="726">
        <f t="shared" si="71"/>
        <v>162952.22727272726</v>
      </c>
      <c r="F1093" s="673">
        <f t="shared" si="66"/>
        <v>5241629.9772727247</v>
      </c>
      <c r="G1093" s="1263">
        <f t="shared" si="68"/>
        <v>979583.44487516268</v>
      </c>
      <c r="H1093" s="1266">
        <f t="shared" si="69"/>
        <v>979583.44487516268</v>
      </c>
      <c r="I1093" s="724">
        <f t="shared" si="70"/>
        <v>0</v>
      </c>
      <c r="J1093" s="724"/>
      <c r="K1093" s="869"/>
      <c r="L1093" s="729"/>
      <c r="M1093" s="869"/>
      <c r="N1093" s="729"/>
      <c r="O1093" s="729"/>
    </row>
    <row r="1094" spans="3:15">
      <c r="C1094" s="720">
        <f>IF(D1076="","-",+C1093+1)</f>
        <v>2027</v>
      </c>
      <c r="D1094" s="673">
        <f t="shared" si="67"/>
        <v>5241629.9772727247</v>
      </c>
      <c r="E1094" s="726">
        <f t="shared" si="71"/>
        <v>162952.22727272726</v>
      </c>
      <c r="F1094" s="673">
        <f t="shared" si="66"/>
        <v>5078677.7499999972</v>
      </c>
      <c r="G1094" s="1263">
        <f t="shared" si="68"/>
        <v>954584.53005059843</v>
      </c>
      <c r="H1094" s="1266">
        <f t="shared" si="69"/>
        <v>954584.53005059843</v>
      </c>
      <c r="I1094" s="724">
        <f t="shared" si="70"/>
        <v>0</v>
      </c>
      <c r="J1094" s="724"/>
      <c r="K1094" s="869"/>
      <c r="L1094" s="729"/>
      <c r="M1094" s="869"/>
      <c r="N1094" s="729"/>
      <c r="O1094" s="729"/>
    </row>
    <row r="1095" spans="3:15">
      <c r="C1095" s="720">
        <f>IF(D1076="","-",+C1094+1)</f>
        <v>2028</v>
      </c>
      <c r="D1095" s="673">
        <f t="shared" si="67"/>
        <v>5078677.7499999972</v>
      </c>
      <c r="E1095" s="726">
        <f t="shared" si="71"/>
        <v>162952.22727272726</v>
      </c>
      <c r="F1095" s="673">
        <f t="shared" si="66"/>
        <v>4915725.5227272697</v>
      </c>
      <c r="G1095" s="1263">
        <f t="shared" si="68"/>
        <v>929585.61522603384</v>
      </c>
      <c r="H1095" s="1266">
        <f t="shared" si="69"/>
        <v>929585.61522603384</v>
      </c>
      <c r="I1095" s="724">
        <f t="shared" si="70"/>
        <v>0</v>
      </c>
      <c r="J1095" s="724"/>
      <c r="K1095" s="869"/>
      <c r="L1095" s="729"/>
      <c r="M1095" s="869"/>
      <c r="N1095" s="729"/>
      <c r="O1095" s="729"/>
    </row>
    <row r="1096" spans="3:15">
      <c r="C1096" s="720">
        <f>IF(D1076="","-",+C1095+1)</f>
        <v>2029</v>
      </c>
      <c r="D1096" s="673">
        <f t="shared" si="67"/>
        <v>4915725.5227272697</v>
      </c>
      <c r="E1096" s="726">
        <f t="shared" si="71"/>
        <v>162952.22727272726</v>
      </c>
      <c r="F1096" s="673">
        <f t="shared" si="66"/>
        <v>4752773.2954545422</v>
      </c>
      <c r="G1096" s="1263">
        <f t="shared" si="68"/>
        <v>904586.7004014696</v>
      </c>
      <c r="H1096" s="1266">
        <f t="shared" si="69"/>
        <v>904586.7004014696</v>
      </c>
      <c r="I1096" s="724">
        <f t="shared" si="70"/>
        <v>0</v>
      </c>
      <c r="J1096" s="724"/>
      <c r="K1096" s="869"/>
      <c r="L1096" s="729"/>
      <c r="M1096" s="869"/>
      <c r="N1096" s="729"/>
      <c r="O1096" s="729"/>
    </row>
    <row r="1097" spans="3:15">
      <c r="C1097" s="720">
        <f>IF(D1076="","-",+C1096+1)</f>
        <v>2030</v>
      </c>
      <c r="D1097" s="673">
        <f t="shared" si="67"/>
        <v>4752773.2954545422</v>
      </c>
      <c r="E1097" s="726">
        <f t="shared" si="71"/>
        <v>162952.22727272726</v>
      </c>
      <c r="F1097" s="673">
        <f t="shared" si="66"/>
        <v>4589821.0681818146</v>
      </c>
      <c r="G1097" s="1263">
        <f t="shared" si="68"/>
        <v>879587.78557690512</v>
      </c>
      <c r="H1097" s="1266">
        <f t="shared" si="69"/>
        <v>879587.78557690512</v>
      </c>
      <c r="I1097" s="724">
        <f t="shared" si="70"/>
        <v>0</v>
      </c>
      <c r="J1097" s="724"/>
      <c r="K1097" s="869"/>
      <c r="L1097" s="729"/>
      <c r="M1097" s="869"/>
      <c r="N1097" s="729"/>
      <c r="O1097" s="729"/>
    </row>
    <row r="1098" spans="3:15">
      <c r="C1098" s="720">
        <f>IF(D1076="","-",+C1097+1)</f>
        <v>2031</v>
      </c>
      <c r="D1098" s="673">
        <f t="shared" si="67"/>
        <v>4589821.0681818146</v>
      </c>
      <c r="E1098" s="726">
        <f t="shared" si="71"/>
        <v>162952.22727272726</v>
      </c>
      <c r="F1098" s="673">
        <f t="shared" si="66"/>
        <v>4426868.8409090871</v>
      </c>
      <c r="G1098" s="1263">
        <f t="shared" si="68"/>
        <v>854588.87075234088</v>
      </c>
      <c r="H1098" s="1266">
        <f t="shared" si="69"/>
        <v>854588.87075234088</v>
      </c>
      <c r="I1098" s="724">
        <f t="shared" si="70"/>
        <v>0</v>
      </c>
      <c r="J1098" s="724"/>
      <c r="K1098" s="869"/>
      <c r="L1098" s="729"/>
      <c r="M1098" s="869"/>
      <c r="N1098" s="729"/>
      <c r="O1098" s="729"/>
    </row>
    <row r="1099" spans="3:15">
      <c r="C1099" s="720">
        <f>IF(D1076="","-",+C1098+1)</f>
        <v>2032</v>
      </c>
      <c r="D1099" s="673">
        <f t="shared" si="67"/>
        <v>4426868.8409090871</v>
      </c>
      <c r="E1099" s="726">
        <f t="shared" si="71"/>
        <v>162952.22727272726</v>
      </c>
      <c r="F1099" s="673">
        <f t="shared" si="66"/>
        <v>4263916.6136363596</v>
      </c>
      <c r="G1099" s="1263">
        <f t="shared" si="68"/>
        <v>829589.95592777629</v>
      </c>
      <c r="H1099" s="1266">
        <f t="shared" si="69"/>
        <v>829589.95592777629</v>
      </c>
      <c r="I1099" s="724">
        <f t="shared" si="70"/>
        <v>0</v>
      </c>
      <c r="J1099" s="724"/>
      <c r="K1099" s="869"/>
      <c r="L1099" s="729"/>
      <c r="M1099" s="869"/>
      <c r="N1099" s="729"/>
      <c r="O1099" s="729"/>
    </row>
    <row r="1100" spans="3:15">
      <c r="C1100" s="720">
        <f>IF(D1076="","-",+C1099+1)</f>
        <v>2033</v>
      </c>
      <c r="D1100" s="673">
        <f t="shared" si="67"/>
        <v>4263916.6136363596</v>
      </c>
      <c r="E1100" s="726">
        <f t="shared" si="71"/>
        <v>162952.22727272726</v>
      </c>
      <c r="F1100" s="673">
        <f t="shared" si="66"/>
        <v>4100964.3863636325</v>
      </c>
      <c r="G1100" s="1263">
        <f t="shared" si="68"/>
        <v>804591.04110321205</v>
      </c>
      <c r="H1100" s="1266">
        <f t="shared" si="69"/>
        <v>804591.04110321205</v>
      </c>
      <c r="I1100" s="724">
        <f t="shared" si="70"/>
        <v>0</v>
      </c>
      <c r="J1100" s="724"/>
      <c r="K1100" s="869"/>
      <c r="L1100" s="729"/>
      <c r="M1100" s="869"/>
      <c r="N1100" s="729"/>
      <c r="O1100" s="729"/>
    </row>
    <row r="1101" spans="3:15">
      <c r="C1101" s="720">
        <f>IF(D1076="","-",+C1100+1)</f>
        <v>2034</v>
      </c>
      <c r="D1101" s="673">
        <f t="shared" si="67"/>
        <v>4100964.3863636325</v>
      </c>
      <c r="E1101" s="726">
        <f t="shared" si="71"/>
        <v>162952.22727272726</v>
      </c>
      <c r="F1101" s="673">
        <f t="shared" si="66"/>
        <v>3938012.1590909055</v>
      </c>
      <c r="G1101" s="1263">
        <f t="shared" si="68"/>
        <v>779592.12627864757</v>
      </c>
      <c r="H1101" s="1266">
        <f t="shared" si="69"/>
        <v>779592.12627864757</v>
      </c>
      <c r="I1101" s="724">
        <f t="shared" si="70"/>
        <v>0</v>
      </c>
      <c r="J1101" s="724"/>
      <c r="K1101" s="869"/>
      <c r="L1101" s="729"/>
      <c r="M1101" s="869"/>
      <c r="N1101" s="729"/>
      <c r="O1101" s="729"/>
    </row>
    <row r="1102" spans="3:15">
      <c r="C1102" s="720">
        <f>IF(D1076="","-",+C1101+1)</f>
        <v>2035</v>
      </c>
      <c r="D1102" s="673">
        <f t="shared" si="67"/>
        <v>3938012.1590909055</v>
      </c>
      <c r="E1102" s="726">
        <f t="shared" si="71"/>
        <v>162952.22727272726</v>
      </c>
      <c r="F1102" s="673">
        <f t="shared" si="66"/>
        <v>3775059.9318181784</v>
      </c>
      <c r="G1102" s="1263">
        <f t="shared" si="68"/>
        <v>754593.21145408333</v>
      </c>
      <c r="H1102" s="1266">
        <f t="shared" si="69"/>
        <v>754593.21145408333</v>
      </c>
      <c r="I1102" s="724">
        <f t="shared" si="70"/>
        <v>0</v>
      </c>
      <c r="J1102" s="724"/>
      <c r="K1102" s="869"/>
      <c r="L1102" s="729"/>
      <c r="M1102" s="869"/>
      <c r="N1102" s="729"/>
      <c r="O1102" s="729"/>
    </row>
    <row r="1103" spans="3:15">
      <c r="C1103" s="720">
        <f>IF(D1076="","-",+C1102+1)</f>
        <v>2036</v>
      </c>
      <c r="D1103" s="673">
        <f t="shared" si="67"/>
        <v>3775059.9318181784</v>
      </c>
      <c r="E1103" s="726">
        <f t="shared" si="71"/>
        <v>162952.22727272726</v>
      </c>
      <c r="F1103" s="673">
        <f t="shared" si="66"/>
        <v>3612107.7045454513</v>
      </c>
      <c r="G1103" s="1263">
        <f t="shared" si="68"/>
        <v>729594.29662951897</v>
      </c>
      <c r="H1103" s="1266">
        <f t="shared" si="69"/>
        <v>729594.29662951897</v>
      </c>
      <c r="I1103" s="724">
        <f t="shared" si="70"/>
        <v>0</v>
      </c>
      <c r="J1103" s="724"/>
      <c r="K1103" s="869"/>
      <c r="L1103" s="729"/>
      <c r="M1103" s="869"/>
      <c r="N1103" s="729"/>
      <c r="O1103" s="729"/>
    </row>
    <row r="1104" spans="3:15">
      <c r="C1104" s="720">
        <f>IF(D1076="","-",+C1103+1)</f>
        <v>2037</v>
      </c>
      <c r="D1104" s="673">
        <f t="shared" si="67"/>
        <v>3612107.7045454513</v>
      </c>
      <c r="E1104" s="726">
        <f t="shared" si="71"/>
        <v>162952.22727272726</v>
      </c>
      <c r="F1104" s="673">
        <f t="shared" si="66"/>
        <v>3449155.4772727243</v>
      </c>
      <c r="G1104" s="1263">
        <f t="shared" si="68"/>
        <v>704595.38180495473</v>
      </c>
      <c r="H1104" s="1266">
        <f t="shared" si="69"/>
        <v>704595.38180495473</v>
      </c>
      <c r="I1104" s="724">
        <f t="shared" si="70"/>
        <v>0</v>
      </c>
      <c r="J1104" s="724"/>
      <c r="K1104" s="869"/>
      <c r="L1104" s="729"/>
      <c r="M1104" s="869"/>
      <c r="N1104" s="729"/>
      <c r="O1104" s="729"/>
    </row>
    <row r="1105" spans="3:15">
      <c r="C1105" s="720">
        <f>IF(D1076="","-",+C1104+1)</f>
        <v>2038</v>
      </c>
      <c r="D1105" s="673">
        <f t="shared" si="67"/>
        <v>3449155.4772727243</v>
      </c>
      <c r="E1105" s="726">
        <f t="shared" si="71"/>
        <v>162952.22727272726</v>
      </c>
      <c r="F1105" s="673">
        <f t="shared" si="66"/>
        <v>3286203.2499999972</v>
      </c>
      <c r="G1105" s="1263">
        <f t="shared" si="68"/>
        <v>679596.46698039025</v>
      </c>
      <c r="H1105" s="1266">
        <f t="shared" si="69"/>
        <v>679596.46698039025</v>
      </c>
      <c r="I1105" s="724">
        <f t="shared" si="70"/>
        <v>0</v>
      </c>
      <c r="J1105" s="724"/>
      <c r="K1105" s="869"/>
      <c r="L1105" s="729"/>
      <c r="M1105" s="869"/>
      <c r="N1105" s="729"/>
      <c r="O1105" s="729"/>
    </row>
    <row r="1106" spans="3:15">
      <c r="C1106" s="720">
        <f>IF(D1076="","-",+C1105+1)</f>
        <v>2039</v>
      </c>
      <c r="D1106" s="673">
        <f t="shared" si="67"/>
        <v>3286203.2499999972</v>
      </c>
      <c r="E1106" s="726">
        <f t="shared" si="71"/>
        <v>162952.22727272726</v>
      </c>
      <c r="F1106" s="673">
        <f t="shared" si="66"/>
        <v>3123251.0227272701</v>
      </c>
      <c r="G1106" s="1263">
        <f t="shared" si="68"/>
        <v>654597.55215582601</v>
      </c>
      <c r="H1106" s="1266">
        <f t="shared" si="69"/>
        <v>654597.55215582601</v>
      </c>
      <c r="I1106" s="724">
        <f t="shared" si="70"/>
        <v>0</v>
      </c>
      <c r="J1106" s="724"/>
      <c r="K1106" s="869"/>
      <c r="L1106" s="729"/>
      <c r="M1106" s="869"/>
      <c r="N1106" s="729"/>
      <c r="O1106" s="729"/>
    </row>
    <row r="1107" spans="3:15">
      <c r="C1107" s="720">
        <f>IF(D1076="","-",+C1106+1)</f>
        <v>2040</v>
      </c>
      <c r="D1107" s="673">
        <f t="shared" si="67"/>
        <v>3123251.0227272701</v>
      </c>
      <c r="E1107" s="726">
        <f t="shared" si="71"/>
        <v>162952.22727272726</v>
      </c>
      <c r="F1107" s="673">
        <f t="shared" si="66"/>
        <v>2960298.7954545431</v>
      </c>
      <c r="G1107" s="1263">
        <f t="shared" si="68"/>
        <v>629598.63733126165</v>
      </c>
      <c r="H1107" s="1266">
        <f t="shared" si="69"/>
        <v>629598.63733126165</v>
      </c>
      <c r="I1107" s="724">
        <f t="shared" si="70"/>
        <v>0</v>
      </c>
      <c r="J1107" s="724"/>
      <c r="K1107" s="869"/>
      <c r="L1107" s="729"/>
      <c r="M1107" s="869"/>
      <c r="N1107" s="729"/>
      <c r="O1107" s="729"/>
    </row>
    <row r="1108" spans="3:15">
      <c r="C1108" s="720">
        <f>IF(D1076="","-",+C1107+1)</f>
        <v>2041</v>
      </c>
      <c r="D1108" s="673">
        <f t="shared" si="67"/>
        <v>2960298.7954545431</v>
      </c>
      <c r="E1108" s="726">
        <f t="shared" si="71"/>
        <v>162952.22727272726</v>
      </c>
      <c r="F1108" s="673">
        <f t="shared" si="66"/>
        <v>2797346.568181816</v>
      </c>
      <c r="G1108" s="1263">
        <f t="shared" si="68"/>
        <v>604599.72250669741</v>
      </c>
      <c r="H1108" s="1266">
        <f t="shared" si="69"/>
        <v>604599.72250669741</v>
      </c>
      <c r="I1108" s="724">
        <f t="shared" si="70"/>
        <v>0</v>
      </c>
      <c r="J1108" s="724"/>
      <c r="K1108" s="869"/>
      <c r="L1108" s="729"/>
      <c r="M1108" s="869"/>
      <c r="N1108" s="729"/>
      <c r="O1108" s="729"/>
    </row>
    <row r="1109" spans="3:15">
      <c r="C1109" s="720">
        <f>IF(D1076="","-",+C1108+1)</f>
        <v>2042</v>
      </c>
      <c r="D1109" s="673">
        <f t="shared" si="67"/>
        <v>2797346.568181816</v>
      </c>
      <c r="E1109" s="726">
        <f t="shared" si="71"/>
        <v>162952.22727272726</v>
      </c>
      <c r="F1109" s="673">
        <f t="shared" si="66"/>
        <v>2634394.340909089</v>
      </c>
      <c r="G1109" s="1263">
        <f t="shared" si="68"/>
        <v>579600.80768213293</v>
      </c>
      <c r="H1109" s="1266">
        <f t="shared" si="69"/>
        <v>579600.80768213293</v>
      </c>
      <c r="I1109" s="724">
        <f t="shared" si="70"/>
        <v>0</v>
      </c>
      <c r="J1109" s="724"/>
      <c r="K1109" s="869"/>
      <c r="L1109" s="729"/>
      <c r="M1109" s="869"/>
      <c r="N1109" s="729"/>
      <c r="O1109" s="729"/>
    </row>
    <row r="1110" spans="3:15">
      <c r="C1110" s="720">
        <f>IF(D1076="","-",+C1109+1)</f>
        <v>2043</v>
      </c>
      <c r="D1110" s="673">
        <f t="shared" si="67"/>
        <v>2634394.340909089</v>
      </c>
      <c r="E1110" s="726">
        <f t="shared" si="71"/>
        <v>162952.22727272726</v>
      </c>
      <c r="F1110" s="673">
        <f t="shared" si="66"/>
        <v>2471442.1136363619</v>
      </c>
      <c r="G1110" s="1264">
        <f t="shared" si="68"/>
        <v>554601.89285756869</v>
      </c>
      <c r="H1110" s="1266">
        <f t="shared" si="69"/>
        <v>554601.89285756869</v>
      </c>
      <c r="I1110" s="724">
        <f t="shared" si="70"/>
        <v>0</v>
      </c>
      <c r="J1110" s="724"/>
      <c r="K1110" s="869"/>
      <c r="L1110" s="729"/>
      <c r="M1110" s="869"/>
      <c r="N1110" s="729"/>
      <c r="O1110" s="729"/>
    </row>
    <row r="1111" spans="3:15">
      <c r="C1111" s="720">
        <f>IF(D1076="","-",+C1110+1)</f>
        <v>2044</v>
      </c>
      <c r="D1111" s="673">
        <f t="shared" si="67"/>
        <v>2471442.1136363619</v>
      </c>
      <c r="E1111" s="726">
        <f t="shared" si="71"/>
        <v>162952.22727272726</v>
      </c>
      <c r="F1111" s="673">
        <f t="shared" si="66"/>
        <v>2308489.8863636348</v>
      </c>
      <c r="G1111" s="1263">
        <f t="shared" si="68"/>
        <v>529602.97803300433</v>
      </c>
      <c r="H1111" s="1266">
        <f t="shared" si="69"/>
        <v>529602.97803300433</v>
      </c>
      <c r="I1111" s="724">
        <f t="shared" si="70"/>
        <v>0</v>
      </c>
      <c r="J1111" s="724"/>
      <c r="K1111" s="869"/>
      <c r="L1111" s="729"/>
      <c r="M1111" s="869"/>
      <c r="N1111" s="729"/>
      <c r="O1111" s="729"/>
    </row>
    <row r="1112" spans="3:15">
      <c r="C1112" s="720">
        <f>IF(D1076="","-",+C1111+1)</f>
        <v>2045</v>
      </c>
      <c r="D1112" s="673">
        <f t="shared" si="67"/>
        <v>2308489.8863636348</v>
      </c>
      <c r="E1112" s="726">
        <f t="shared" si="71"/>
        <v>162952.22727272726</v>
      </c>
      <c r="F1112" s="673">
        <f t="shared" si="66"/>
        <v>2145537.6590909078</v>
      </c>
      <c r="G1112" s="1263">
        <f t="shared" si="68"/>
        <v>504604.06320844009</v>
      </c>
      <c r="H1112" s="1266">
        <f t="shared" si="69"/>
        <v>504604.06320844009</v>
      </c>
      <c r="I1112" s="724">
        <f t="shared" si="70"/>
        <v>0</v>
      </c>
      <c r="J1112" s="724"/>
      <c r="K1112" s="869"/>
      <c r="L1112" s="729"/>
      <c r="M1112" s="869"/>
      <c r="N1112" s="729"/>
      <c r="O1112" s="729"/>
    </row>
    <row r="1113" spans="3:15">
      <c r="C1113" s="720">
        <f>IF(D1076="","-",+C1112+1)</f>
        <v>2046</v>
      </c>
      <c r="D1113" s="673">
        <f t="shared" si="67"/>
        <v>2145537.6590909078</v>
      </c>
      <c r="E1113" s="726">
        <f t="shared" si="71"/>
        <v>162952.22727272726</v>
      </c>
      <c r="F1113" s="673">
        <f t="shared" si="66"/>
        <v>1982585.4318181805</v>
      </c>
      <c r="G1113" s="1263">
        <f t="shared" si="68"/>
        <v>479605.14838387561</v>
      </c>
      <c r="H1113" s="1266">
        <f t="shared" si="69"/>
        <v>479605.14838387561</v>
      </c>
      <c r="I1113" s="724">
        <f t="shared" si="70"/>
        <v>0</v>
      </c>
      <c r="J1113" s="724"/>
      <c r="K1113" s="869"/>
      <c r="L1113" s="729"/>
      <c r="M1113" s="869"/>
      <c r="N1113" s="729"/>
      <c r="O1113" s="729"/>
    </row>
    <row r="1114" spans="3:15">
      <c r="C1114" s="720">
        <f>IF(D1076="","-",+C1113+1)</f>
        <v>2047</v>
      </c>
      <c r="D1114" s="673">
        <f t="shared" si="67"/>
        <v>1982585.4318181805</v>
      </c>
      <c r="E1114" s="726">
        <f t="shared" si="71"/>
        <v>162952.22727272726</v>
      </c>
      <c r="F1114" s="673">
        <f t="shared" si="66"/>
        <v>1819633.2045454532</v>
      </c>
      <c r="G1114" s="1263">
        <f t="shared" si="68"/>
        <v>454606.23355931125</v>
      </c>
      <c r="H1114" s="1266">
        <f t="shared" si="69"/>
        <v>454606.23355931125</v>
      </c>
      <c r="I1114" s="724">
        <f t="shared" si="70"/>
        <v>0</v>
      </c>
      <c r="J1114" s="724"/>
      <c r="K1114" s="869"/>
      <c r="L1114" s="729"/>
      <c r="M1114" s="869"/>
      <c r="N1114" s="729"/>
      <c r="O1114" s="729"/>
    </row>
    <row r="1115" spans="3:15">
      <c r="C1115" s="720">
        <f>IF(D1076="","-",+C1114+1)</f>
        <v>2048</v>
      </c>
      <c r="D1115" s="673">
        <f t="shared" si="67"/>
        <v>1819633.2045454532</v>
      </c>
      <c r="E1115" s="726">
        <f t="shared" si="71"/>
        <v>162952.22727272726</v>
      </c>
      <c r="F1115" s="673">
        <f t="shared" si="66"/>
        <v>1656680.9772727259</v>
      </c>
      <c r="G1115" s="1263">
        <f t="shared" si="68"/>
        <v>429607.31873474689</v>
      </c>
      <c r="H1115" s="1266">
        <f t="shared" si="69"/>
        <v>429607.31873474689</v>
      </c>
      <c r="I1115" s="724">
        <f t="shared" si="70"/>
        <v>0</v>
      </c>
      <c r="J1115" s="724"/>
      <c r="K1115" s="869"/>
      <c r="L1115" s="729"/>
      <c r="M1115" s="869"/>
      <c r="N1115" s="729"/>
      <c r="O1115" s="729"/>
    </row>
    <row r="1116" spans="3:15">
      <c r="C1116" s="720">
        <f>IF(D1076="","-",+C1115+1)</f>
        <v>2049</v>
      </c>
      <c r="D1116" s="673">
        <f t="shared" si="67"/>
        <v>1656680.9772727259</v>
      </c>
      <c r="E1116" s="726">
        <f t="shared" si="71"/>
        <v>162952.22727272726</v>
      </c>
      <c r="F1116" s="673">
        <f t="shared" si="66"/>
        <v>1493728.7499999986</v>
      </c>
      <c r="G1116" s="1263">
        <f t="shared" si="68"/>
        <v>404608.40391018253</v>
      </c>
      <c r="H1116" s="1266">
        <f t="shared" si="69"/>
        <v>404608.40391018253</v>
      </c>
      <c r="I1116" s="724">
        <f t="shared" si="70"/>
        <v>0</v>
      </c>
      <c r="J1116" s="724"/>
      <c r="K1116" s="869"/>
      <c r="L1116" s="729"/>
      <c r="M1116" s="869"/>
      <c r="N1116" s="729"/>
      <c r="O1116" s="729"/>
    </row>
    <row r="1117" spans="3:15">
      <c r="C1117" s="720">
        <f>IF(D1076="","-",+C1116+1)</f>
        <v>2050</v>
      </c>
      <c r="D1117" s="673">
        <f t="shared" si="67"/>
        <v>1493728.7499999986</v>
      </c>
      <c r="E1117" s="726">
        <f t="shared" si="71"/>
        <v>162952.22727272726</v>
      </c>
      <c r="F1117" s="673">
        <f t="shared" si="66"/>
        <v>1330776.5227272713</v>
      </c>
      <c r="G1117" s="1263">
        <f t="shared" si="68"/>
        <v>379609.48908561817</v>
      </c>
      <c r="H1117" s="1266">
        <f t="shared" si="69"/>
        <v>379609.48908561817</v>
      </c>
      <c r="I1117" s="724">
        <f t="shared" si="70"/>
        <v>0</v>
      </c>
      <c r="J1117" s="724"/>
      <c r="K1117" s="869"/>
      <c r="L1117" s="729"/>
      <c r="M1117" s="869"/>
      <c r="N1117" s="729"/>
      <c r="O1117" s="729"/>
    </row>
    <row r="1118" spans="3:15">
      <c r="C1118" s="720">
        <f>IF(D1076="","-",+C1117+1)</f>
        <v>2051</v>
      </c>
      <c r="D1118" s="673">
        <f t="shared" si="67"/>
        <v>1330776.5227272713</v>
      </c>
      <c r="E1118" s="726">
        <f t="shared" si="71"/>
        <v>162952.22727272726</v>
      </c>
      <c r="F1118" s="673">
        <f t="shared" si="66"/>
        <v>1167824.295454544</v>
      </c>
      <c r="G1118" s="1263">
        <f t="shared" si="68"/>
        <v>354610.57426105381</v>
      </c>
      <c r="H1118" s="1266">
        <f t="shared" si="69"/>
        <v>354610.57426105381</v>
      </c>
      <c r="I1118" s="724">
        <f t="shared" si="70"/>
        <v>0</v>
      </c>
      <c r="J1118" s="724"/>
      <c r="K1118" s="869"/>
      <c r="L1118" s="729"/>
      <c r="M1118" s="869"/>
      <c r="N1118" s="729"/>
      <c r="O1118" s="729"/>
    </row>
    <row r="1119" spans="3:15">
      <c r="C1119" s="720">
        <f>IF(D1076="","-",+C1118+1)</f>
        <v>2052</v>
      </c>
      <c r="D1119" s="673">
        <f t="shared" si="67"/>
        <v>1167824.295454544</v>
      </c>
      <c r="E1119" s="726">
        <f t="shared" si="71"/>
        <v>162952.22727272726</v>
      </c>
      <c r="F1119" s="673">
        <f t="shared" si="66"/>
        <v>1004872.0681818167</v>
      </c>
      <c r="G1119" s="1263">
        <f t="shared" si="68"/>
        <v>329611.65943648946</v>
      </c>
      <c r="H1119" s="1266">
        <f t="shared" si="69"/>
        <v>329611.65943648946</v>
      </c>
      <c r="I1119" s="724">
        <f t="shared" si="70"/>
        <v>0</v>
      </c>
      <c r="J1119" s="724"/>
      <c r="K1119" s="869"/>
      <c r="L1119" s="729"/>
      <c r="M1119" s="869"/>
      <c r="N1119" s="729"/>
      <c r="O1119" s="729"/>
    </row>
    <row r="1120" spans="3:15">
      <c r="C1120" s="720">
        <f>IF(D1076="","-",+C1119+1)</f>
        <v>2053</v>
      </c>
      <c r="D1120" s="673">
        <f t="shared" si="67"/>
        <v>1004872.0681818167</v>
      </c>
      <c r="E1120" s="726">
        <f>IF(D1120&gt;$I$1079,$I$1079,D1120)</f>
        <v>162952.22727272726</v>
      </c>
      <c r="F1120" s="673">
        <f t="shared" si="66"/>
        <v>841919.84090908943</v>
      </c>
      <c r="G1120" s="1263">
        <f t="shared" si="68"/>
        <v>304612.7446119251</v>
      </c>
      <c r="H1120" s="1266">
        <f t="shared" si="69"/>
        <v>304612.7446119251</v>
      </c>
      <c r="I1120" s="724">
        <f t="shared" si="70"/>
        <v>0</v>
      </c>
      <c r="J1120" s="724"/>
      <c r="K1120" s="869"/>
      <c r="L1120" s="729"/>
      <c r="M1120" s="869"/>
      <c r="N1120" s="729"/>
      <c r="O1120" s="729"/>
    </row>
    <row r="1121" spans="3:15">
      <c r="C1121" s="720">
        <f>IF(D1076="","-",+C1120+1)</f>
        <v>2054</v>
      </c>
      <c r="D1121" s="673">
        <f t="shared" si="67"/>
        <v>841919.84090908943</v>
      </c>
      <c r="E1121" s="726">
        <f t="shared" si="71"/>
        <v>162952.22727272726</v>
      </c>
      <c r="F1121" s="673">
        <f t="shared" si="66"/>
        <v>678967.61363636213</v>
      </c>
      <c r="G1121" s="1263">
        <f t="shared" si="68"/>
        <v>279613.82978736074</v>
      </c>
      <c r="H1121" s="1266">
        <f t="shared" si="69"/>
        <v>279613.82978736074</v>
      </c>
      <c r="I1121" s="724">
        <f t="shared" si="70"/>
        <v>0</v>
      </c>
      <c r="J1121" s="724"/>
      <c r="K1121" s="869"/>
      <c r="L1121" s="729"/>
      <c r="M1121" s="869"/>
      <c r="N1121" s="729"/>
      <c r="O1121" s="729"/>
    </row>
    <row r="1122" spans="3:15">
      <c r="C1122" s="720">
        <f>IF(D1076="","-",+C1121+1)</f>
        <v>2055</v>
      </c>
      <c r="D1122" s="673">
        <f t="shared" si="67"/>
        <v>678967.61363636213</v>
      </c>
      <c r="E1122" s="726">
        <f t="shared" si="71"/>
        <v>162952.22727272726</v>
      </c>
      <c r="F1122" s="673">
        <f t="shared" si="66"/>
        <v>516015.38636363484</v>
      </c>
      <c r="G1122" s="1263">
        <f t="shared" si="68"/>
        <v>254614.91496279638</v>
      </c>
      <c r="H1122" s="1266">
        <f t="shared" si="69"/>
        <v>254614.91496279638</v>
      </c>
      <c r="I1122" s="724">
        <f t="shared" si="70"/>
        <v>0</v>
      </c>
      <c r="J1122" s="724"/>
      <c r="K1122" s="869"/>
      <c r="L1122" s="729"/>
      <c r="M1122" s="869"/>
      <c r="N1122" s="729"/>
      <c r="O1122" s="729"/>
    </row>
    <row r="1123" spans="3:15">
      <c r="C1123" s="720">
        <f>IF(D1076="","-",+C1122+1)</f>
        <v>2056</v>
      </c>
      <c r="D1123" s="673">
        <f t="shared" si="67"/>
        <v>516015.38636363484</v>
      </c>
      <c r="E1123" s="726">
        <f t="shared" si="71"/>
        <v>162952.22727272726</v>
      </c>
      <c r="F1123" s="673">
        <f t="shared" si="66"/>
        <v>353063.15909090755</v>
      </c>
      <c r="G1123" s="1263">
        <f t="shared" si="68"/>
        <v>229616.00013823199</v>
      </c>
      <c r="H1123" s="1266">
        <f t="shared" si="69"/>
        <v>229616.00013823199</v>
      </c>
      <c r="I1123" s="724">
        <f t="shared" si="70"/>
        <v>0</v>
      </c>
      <c r="J1123" s="724"/>
      <c r="K1123" s="869"/>
      <c r="L1123" s="729"/>
      <c r="M1123" s="869"/>
      <c r="N1123" s="729"/>
      <c r="O1123" s="729"/>
    </row>
    <row r="1124" spans="3:15">
      <c r="C1124" s="720">
        <f>IF(D1076="","-",+C1123+1)</f>
        <v>2057</v>
      </c>
      <c r="D1124" s="673">
        <f t="shared" si="67"/>
        <v>353063.15909090755</v>
      </c>
      <c r="E1124" s="726">
        <f t="shared" si="71"/>
        <v>162952.22727272726</v>
      </c>
      <c r="F1124" s="673">
        <f t="shared" si="66"/>
        <v>190110.93181818028</v>
      </c>
      <c r="G1124" s="1263">
        <f t="shared" si="68"/>
        <v>204617.08531366763</v>
      </c>
      <c r="H1124" s="1266">
        <f t="shared" si="69"/>
        <v>204617.08531366763</v>
      </c>
      <c r="I1124" s="724">
        <f t="shared" si="70"/>
        <v>0</v>
      </c>
      <c r="J1124" s="724"/>
      <c r="K1124" s="869"/>
      <c r="L1124" s="729"/>
      <c r="M1124" s="869"/>
      <c r="N1124" s="729"/>
      <c r="O1124" s="729"/>
    </row>
    <row r="1125" spans="3:15">
      <c r="C1125" s="720">
        <f>IF(D1076="","-",+C1124+1)</f>
        <v>2058</v>
      </c>
      <c r="D1125" s="673">
        <f t="shared" si="67"/>
        <v>190110.93181818028</v>
      </c>
      <c r="E1125" s="726">
        <f t="shared" si="71"/>
        <v>162952.22727272726</v>
      </c>
      <c r="F1125" s="673">
        <f t="shared" si="66"/>
        <v>27158.704545453016</v>
      </c>
      <c r="G1125" s="1263">
        <f t="shared" si="68"/>
        <v>179618.17048910327</v>
      </c>
      <c r="H1125" s="1266">
        <f t="shared" si="69"/>
        <v>179618.17048910327</v>
      </c>
      <c r="I1125" s="724">
        <f t="shared" si="70"/>
        <v>0</v>
      </c>
      <c r="J1125" s="724"/>
      <c r="K1125" s="869"/>
      <c r="L1125" s="729"/>
      <c r="M1125" s="869"/>
      <c r="N1125" s="729"/>
      <c r="O1125" s="729"/>
    </row>
    <row r="1126" spans="3:15">
      <c r="C1126" s="720">
        <f>IF(D1076="","-",+C1125+1)</f>
        <v>2059</v>
      </c>
      <c r="D1126" s="673">
        <f t="shared" si="67"/>
        <v>27158.704545453016</v>
      </c>
      <c r="E1126" s="726">
        <f t="shared" si="71"/>
        <v>27158.704545453016</v>
      </c>
      <c r="F1126" s="673">
        <f t="shared" si="66"/>
        <v>0</v>
      </c>
      <c r="G1126" s="1263">
        <f t="shared" si="68"/>
        <v>29241.94744749993</v>
      </c>
      <c r="H1126" s="1266">
        <f t="shared" si="69"/>
        <v>29241.94744749993</v>
      </c>
      <c r="I1126" s="724">
        <f t="shared" si="70"/>
        <v>0</v>
      </c>
      <c r="J1126" s="724"/>
      <c r="K1126" s="869"/>
      <c r="L1126" s="729"/>
      <c r="M1126" s="869"/>
      <c r="N1126" s="729"/>
      <c r="O1126" s="729"/>
    </row>
    <row r="1127" spans="3:15">
      <c r="C1127" s="720">
        <f>IF(D1076="","-",+C1126+1)</f>
        <v>2060</v>
      </c>
      <c r="D1127" s="673">
        <f t="shared" si="67"/>
        <v>0</v>
      </c>
      <c r="E1127" s="726">
        <f t="shared" si="71"/>
        <v>0</v>
      </c>
      <c r="F1127" s="673">
        <f t="shared" si="66"/>
        <v>0</v>
      </c>
      <c r="G1127" s="1263">
        <f t="shared" si="68"/>
        <v>0</v>
      </c>
      <c r="H1127" s="1266">
        <f t="shared" si="69"/>
        <v>0</v>
      </c>
      <c r="I1127" s="724">
        <f t="shared" si="70"/>
        <v>0</v>
      </c>
      <c r="J1127" s="724"/>
      <c r="K1127" s="869"/>
      <c r="L1127" s="729"/>
      <c r="M1127" s="869"/>
      <c r="N1127" s="729"/>
      <c r="O1127" s="729"/>
    </row>
    <row r="1128" spans="3:15">
      <c r="C1128" s="720">
        <f>IF(D1076="","-",+C1127+1)</f>
        <v>2061</v>
      </c>
      <c r="D1128" s="673">
        <f t="shared" si="67"/>
        <v>0</v>
      </c>
      <c r="E1128" s="726">
        <f t="shared" si="71"/>
        <v>0</v>
      </c>
      <c r="F1128" s="673">
        <f t="shared" si="66"/>
        <v>0</v>
      </c>
      <c r="G1128" s="1263">
        <f t="shared" si="68"/>
        <v>0</v>
      </c>
      <c r="H1128" s="1266">
        <f t="shared" si="69"/>
        <v>0</v>
      </c>
      <c r="I1128" s="724">
        <f t="shared" si="70"/>
        <v>0</v>
      </c>
      <c r="J1128" s="724"/>
      <c r="K1128" s="869"/>
      <c r="L1128" s="729"/>
      <c r="M1128" s="869"/>
      <c r="N1128" s="729"/>
      <c r="O1128" s="729"/>
    </row>
    <row r="1129" spans="3:15">
      <c r="C1129" s="720">
        <f>IF(D1076="","-",+C1128+1)</f>
        <v>2062</v>
      </c>
      <c r="D1129" s="673">
        <f t="shared" si="67"/>
        <v>0</v>
      </c>
      <c r="E1129" s="726">
        <f t="shared" si="71"/>
        <v>0</v>
      </c>
      <c r="F1129" s="673">
        <f t="shared" si="66"/>
        <v>0</v>
      </c>
      <c r="G1129" s="1263">
        <f t="shared" si="68"/>
        <v>0</v>
      </c>
      <c r="H1129" s="1266">
        <f t="shared" si="69"/>
        <v>0</v>
      </c>
      <c r="I1129" s="724">
        <f t="shared" si="70"/>
        <v>0</v>
      </c>
      <c r="J1129" s="724"/>
      <c r="K1129" s="869"/>
      <c r="L1129" s="729"/>
      <c r="M1129" s="869"/>
      <c r="N1129" s="729"/>
      <c r="O1129" s="729"/>
    </row>
    <row r="1130" spans="3:15">
      <c r="C1130" s="720">
        <f>IF(D1076="","-",+C1129+1)</f>
        <v>2063</v>
      </c>
      <c r="D1130" s="673">
        <f t="shared" si="67"/>
        <v>0</v>
      </c>
      <c r="E1130" s="726">
        <f t="shared" si="71"/>
        <v>0</v>
      </c>
      <c r="F1130" s="673">
        <f t="shared" si="66"/>
        <v>0</v>
      </c>
      <c r="G1130" s="1263">
        <f t="shared" si="68"/>
        <v>0</v>
      </c>
      <c r="H1130" s="1266">
        <f t="shared" si="69"/>
        <v>0</v>
      </c>
      <c r="I1130" s="724">
        <f t="shared" si="70"/>
        <v>0</v>
      </c>
      <c r="J1130" s="724"/>
      <c r="K1130" s="869"/>
      <c r="L1130" s="729"/>
      <c r="M1130" s="869"/>
      <c r="N1130" s="729"/>
      <c r="O1130" s="729"/>
    </row>
    <row r="1131" spans="3:15">
      <c r="C1131" s="720">
        <f>IF(D1076="","-",+C1130+1)</f>
        <v>2064</v>
      </c>
      <c r="D1131" s="673">
        <f t="shared" si="67"/>
        <v>0</v>
      </c>
      <c r="E1131" s="726">
        <f t="shared" si="71"/>
        <v>0</v>
      </c>
      <c r="F1131" s="673">
        <f t="shared" si="66"/>
        <v>0</v>
      </c>
      <c r="G1131" s="1263">
        <f t="shared" si="68"/>
        <v>0</v>
      </c>
      <c r="H1131" s="1266">
        <f t="shared" si="69"/>
        <v>0</v>
      </c>
      <c r="I1131" s="724">
        <f t="shared" si="70"/>
        <v>0</v>
      </c>
      <c r="J1131" s="724"/>
      <c r="K1131" s="869"/>
      <c r="L1131" s="729"/>
      <c r="M1131" s="869"/>
      <c r="N1131" s="729"/>
      <c r="O1131" s="729"/>
    </row>
    <row r="1132" spans="3:15">
      <c r="C1132" s="720">
        <f>IF(D1076="","-",+C1131+1)</f>
        <v>2065</v>
      </c>
      <c r="D1132" s="673">
        <f t="shared" si="67"/>
        <v>0</v>
      </c>
      <c r="E1132" s="726">
        <f t="shared" si="71"/>
        <v>0</v>
      </c>
      <c r="F1132" s="673">
        <f t="shared" si="66"/>
        <v>0</v>
      </c>
      <c r="G1132" s="1263">
        <f t="shared" si="68"/>
        <v>0</v>
      </c>
      <c r="H1132" s="1266">
        <f t="shared" si="69"/>
        <v>0</v>
      </c>
      <c r="I1132" s="724">
        <f t="shared" si="70"/>
        <v>0</v>
      </c>
      <c r="J1132" s="724"/>
      <c r="K1132" s="869"/>
      <c r="L1132" s="729"/>
      <c r="M1132" s="869"/>
      <c r="N1132" s="729"/>
      <c r="O1132" s="729"/>
    </row>
    <row r="1133" spans="3:15">
      <c r="C1133" s="720">
        <f>IF(D1076="","-",+C1132+1)</f>
        <v>2066</v>
      </c>
      <c r="D1133" s="673">
        <f t="shared" si="67"/>
        <v>0</v>
      </c>
      <c r="E1133" s="726">
        <f t="shared" si="71"/>
        <v>0</v>
      </c>
      <c r="F1133" s="673">
        <f t="shared" si="66"/>
        <v>0</v>
      </c>
      <c r="G1133" s="1263">
        <f t="shared" si="68"/>
        <v>0</v>
      </c>
      <c r="H1133" s="1266">
        <f t="shared" si="69"/>
        <v>0</v>
      </c>
      <c r="I1133" s="724">
        <f t="shared" si="70"/>
        <v>0</v>
      </c>
      <c r="J1133" s="724"/>
      <c r="K1133" s="869"/>
      <c r="L1133" s="729"/>
      <c r="M1133" s="869"/>
      <c r="N1133" s="729"/>
      <c r="O1133" s="729"/>
    </row>
    <row r="1134" spans="3:15">
      <c r="C1134" s="720">
        <f>IF(D1076="","-",+C1133+1)</f>
        <v>2067</v>
      </c>
      <c r="D1134" s="673">
        <f t="shared" si="67"/>
        <v>0</v>
      </c>
      <c r="E1134" s="726">
        <f t="shared" si="71"/>
        <v>0</v>
      </c>
      <c r="F1134" s="673">
        <f t="shared" si="66"/>
        <v>0</v>
      </c>
      <c r="G1134" s="1263">
        <f t="shared" si="68"/>
        <v>0</v>
      </c>
      <c r="H1134" s="1266">
        <f t="shared" si="69"/>
        <v>0</v>
      </c>
      <c r="I1134" s="724">
        <f t="shared" si="70"/>
        <v>0</v>
      </c>
      <c r="J1134" s="724"/>
      <c r="K1134" s="869"/>
      <c r="L1134" s="729"/>
      <c r="M1134" s="869"/>
      <c r="N1134" s="729"/>
      <c r="O1134" s="729"/>
    </row>
    <row r="1135" spans="3:15">
      <c r="C1135" s="720">
        <f>IF(D1076="","-",+C1134+1)</f>
        <v>2068</v>
      </c>
      <c r="D1135" s="673">
        <f t="shared" si="67"/>
        <v>0</v>
      </c>
      <c r="E1135" s="726">
        <f t="shared" si="71"/>
        <v>0</v>
      </c>
      <c r="F1135" s="673">
        <f t="shared" si="66"/>
        <v>0</v>
      </c>
      <c r="G1135" s="1263">
        <f t="shared" si="68"/>
        <v>0</v>
      </c>
      <c r="H1135" s="1266">
        <f t="shared" si="69"/>
        <v>0</v>
      </c>
      <c r="I1135" s="724">
        <f t="shared" si="70"/>
        <v>0</v>
      </c>
      <c r="J1135" s="724"/>
      <c r="K1135" s="869"/>
      <c r="L1135" s="729"/>
      <c r="M1135" s="869"/>
      <c r="N1135" s="729"/>
      <c r="O1135" s="729"/>
    </row>
    <row r="1136" spans="3:15">
      <c r="C1136" s="720">
        <f>IF(D1076="","-",+C1135+1)</f>
        <v>2069</v>
      </c>
      <c r="D1136" s="673">
        <f t="shared" si="67"/>
        <v>0</v>
      </c>
      <c r="E1136" s="726">
        <f t="shared" si="71"/>
        <v>0</v>
      </c>
      <c r="F1136" s="673">
        <f t="shared" si="66"/>
        <v>0</v>
      </c>
      <c r="G1136" s="1263">
        <f t="shared" si="68"/>
        <v>0</v>
      </c>
      <c r="H1136" s="1266">
        <f t="shared" si="69"/>
        <v>0</v>
      </c>
      <c r="I1136" s="724">
        <f t="shared" si="70"/>
        <v>0</v>
      </c>
      <c r="J1136" s="724"/>
      <c r="K1136" s="869"/>
      <c r="L1136" s="729"/>
      <c r="M1136" s="869"/>
      <c r="N1136" s="729"/>
      <c r="O1136" s="729"/>
    </row>
    <row r="1137" spans="1:16">
      <c r="C1137" s="720">
        <f>IF(D1076="","-",+C1136+1)</f>
        <v>2070</v>
      </c>
      <c r="D1137" s="673">
        <f t="shared" si="67"/>
        <v>0</v>
      </c>
      <c r="E1137" s="726">
        <f t="shared" si="71"/>
        <v>0</v>
      </c>
      <c r="F1137" s="673">
        <f t="shared" si="66"/>
        <v>0</v>
      </c>
      <c r="G1137" s="1263">
        <f t="shared" si="68"/>
        <v>0</v>
      </c>
      <c r="H1137" s="1266">
        <f t="shared" si="69"/>
        <v>0</v>
      </c>
      <c r="I1137" s="724">
        <f t="shared" si="70"/>
        <v>0</v>
      </c>
      <c r="J1137" s="724"/>
      <c r="K1137" s="869"/>
      <c r="L1137" s="729"/>
      <c r="M1137" s="869"/>
      <c r="N1137" s="729"/>
      <c r="O1137" s="729"/>
    </row>
    <row r="1138" spans="1:16">
      <c r="C1138" s="720">
        <f>IF(D1076="","-",+C1137+1)</f>
        <v>2071</v>
      </c>
      <c r="D1138" s="673">
        <f t="shared" si="67"/>
        <v>0</v>
      </c>
      <c r="E1138" s="726">
        <f t="shared" si="71"/>
        <v>0</v>
      </c>
      <c r="F1138" s="673">
        <f t="shared" si="66"/>
        <v>0</v>
      </c>
      <c r="G1138" s="1263">
        <f t="shared" si="68"/>
        <v>0</v>
      </c>
      <c r="H1138" s="1266">
        <f t="shared" si="69"/>
        <v>0</v>
      </c>
      <c r="I1138" s="724">
        <f t="shared" si="70"/>
        <v>0</v>
      </c>
      <c r="J1138" s="724"/>
      <c r="K1138" s="869"/>
      <c r="L1138" s="729"/>
      <c r="M1138" s="869"/>
      <c r="N1138" s="729"/>
      <c r="O1138" s="729"/>
    </row>
    <row r="1139" spans="1:16">
      <c r="C1139" s="720">
        <f>IF(D1076="","-",+C1138+1)</f>
        <v>2072</v>
      </c>
      <c r="D1139" s="673">
        <f t="shared" si="67"/>
        <v>0</v>
      </c>
      <c r="E1139" s="726">
        <f t="shared" si="71"/>
        <v>0</v>
      </c>
      <c r="F1139" s="673">
        <f t="shared" si="66"/>
        <v>0</v>
      </c>
      <c r="G1139" s="1263">
        <f t="shared" si="68"/>
        <v>0</v>
      </c>
      <c r="H1139" s="1266">
        <f t="shared" si="69"/>
        <v>0</v>
      </c>
      <c r="I1139" s="724">
        <f t="shared" si="70"/>
        <v>0</v>
      </c>
      <c r="J1139" s="724"/>
      <c r="K1139" s="869"/>
      <c r="L1139" s="729"/>
      <c r="M1139" s="869"/>
      <c r="N1139" s="729"/>
      <c r="O1139" s="729"/>
    </row>
    <row r="1140" spans="1:16">
      <c r="C1140" s="720">
        <f>IF(D1076="","-",+C1139+1)</f>
        <v>2073</v>
      </c>
      <c r="D1140" s="673">
        <f t="shared" si="67"/>
        <v>0</v>
      </c>
      <c r="E1140" s="726">
        <f t="shared" si="71"/>
        <v>0</v>
      </c>
      <c r="F1140" s="673">
        <f t="shared" si="66"/>
        <v>0</v>
      </c>
      <c r="G1140" s="1263">
        <f t="shared" si="68"/>
        <v>0</v>
      </c>
      <c r="H1140" s="1266">
        <f t="shared" si="69"/>
        <v>0</v>
      </c>
      <c r="I1140" s="724">
        <f t="shared" si="70"/>
        <v>0</v>
      </c>
      <c r="J1140" s="724"/>
      <c r="K1140" s="869"/>
      <c r="L1140" s="729"/>
      <c r="M1140" s="869"/>
      <c r="N1140" s="729"/>
      <c r="O1140" s="729"/>
    </row>
    <row r="1141" spans="1:16" ht="13.5" thickBot="1">
      <c r="C1141" s="730">
        <f>IF(D1076="","-",+C1140+1)</f>
        <v>2074</v>
      </c>
      <c r="D1141" s="731">
        <f t="shared" si="67"/>
        <v>0</v>
      </c>
      <c r="E1141" s="732">
        <f t="shared" si="71"/>
        <v>0</v>
      </c>
      <c r="F1141" s="731">
        <f t="shared" si="66"/>
        <v>0</v>
      </c>
      <c r="G1141" s="1274">
        <f t="shared" si="68"/>
        <v>0</v>
      </c>
      <c r="H1141" s="1274">
        <f t="shared" si="69"/>
        <v>0</v>
      </c>
      <c r="I1141" s="734">
        <f t="shared" si="70"/>
        <v>0</v>
      </c>
      <c r="J1141" s="724"/>
      <c r="K1141" s="870"/>
      <c r="L1141" s="736"/>
      <c r="M1141" s="870"/>
      <c r="N1141" s="736"/>
      <c r="O1141" s="736"/>
    </row>
    <row r="1142" spans="1:16">
      <c r="C1142" s="673" t="s">
        <v>288</v>
      </c>
      <c r="D1142" s="1242"/>
      <c r="E1142" s="673"/>
      <c r="F1142" s="1242"/>
      <c r="G1142" s="1242">
        <f>SUM(G1082:G1141)</f>
        <v>31552172.925558429</v>
      </c>
      <c r="H1142" s="1242">
        <f>SUM(H1082:H1141)</f>
        <v>31552172.925558429</v>
      </c>
      <c r="I1142" s="1242">
        <f>SUM(I1082:I1141)</f>
        <v>0</v>
      </c>
      <c r="J1142" s="1242"/>
      <c r="K1142" s="1242"/>
      <c r="L1142" s="1242"/>
      <c r="M1142" s="1242"/>
      <c r="N1142" s="1242"/>
      <c r="O1142" s="542"/>
    </row>
    <row r="1143" spans="1:16">
      <c r="D1143" s="563"/>
      <c r="E1143" s="542"/>
      <c r="F1143" s="542"/>
      <c r="G1143" s="542"/>
      <c r="H1143" s="1241"/>
      <c r="I1143" s="1241"/>
      <c r="J1143" s="1242"/>
      <c r="K1143" s="1241"/>
      <c r="L1143" s="1241"/>
      <c r="M1143" s="1241"/>
      <c r="N1143" s="1241"/>
      <c r="O1143" s="542"/>
    </row>
    <row r="1144" spans="1:16">
      <c r="C1144" s="542" t="s">
        <v>595</v>
      </c>
      <c r="D1144" s="563"/>
      <c r="E1144" s="542"/>
      <c r="F1144" s="542"/>
      <c r="G1144" s="542"/>
      <c r="H1144" s="1241"/>
      <c r="I1144" s="1241"/>
      <c r="J1144" s="1242"/>
      <c r="K1144" s="1241"/>
      <c r="L1144" s="1241"/>
      <c r="M1144" s="1241"/>
      <c r="N1144" s="1241"/>
      <c r="O1144" s="542"/>
    </row>
    <row r="1145" spans="1:16">
      <c r="C1145" s="542"/>
      <c r="D1145" s="563"/>
      <c r="E1145" s="542"/>
      <c r="F1145" s="542"/>
      <c r="G1145" s="542"/>
      <c r="H1145" s="1241"/>
      <c r="I1145" s="1241"/>
      <c r="J1145" s="1242"/>
      <c r="K1145" s="1241"/>
      <c r="L1145" s="1241"/>
      <c r="M1145" s="1241"/>
      <c r="N1145" s="1241"/>
      <c r="O1145" s="542"/>
    </row>
    <row r="1146" spans="1:16">
      <c r="C1146" s="684" t="s">
        <v>934</v>
      </c>
      <c r="D1146" s="673"/>
      <c r="E1146" s="673"/>
      <c r="F1146" s="673"/>
      <c r="G1146" s="1242"/>
      <c r="H1146" s="1242"/>
      <c r="I1146" s="674"/>
      <c r="J1146" s="674"/>
      <c r="K1146" s="674"/>
      <c r="L1146" s="674"/>
      <c r="M1146" s="674"/>
      <c r="N1146" s="674"/>
      <c r="O1146" s="542"/>
    </row>
    <row r="1147" spans="1:16">
      <c r="C1147" s="684" t="s">
        <v>476</v>
      </c>
      <c r="D1147" s="673"/>
      <c r="E1147" s="673"/>
      <c r="F1147" s="673"/>
      <c r="G1147" s="1242"/>
      <c r="H1147" s="1242"/>
      <c r="I1147" s="674"/>
      <c r="J1147" s="674"/>
      <c r="K1147" s="674"/>
      <c r="L1147" s="674"/>
      <c r="M1147" s="674"/>
      <c r="N1147" s="674"/>
      <c r="O1147" s="542"/>
    </row>
    <row r="1148" spans="1:16">
      <c r="C1148" s="672" t="s">
        <v>289</v>
      </c>
      <c r="D1148" s="673"/>
      <c r="E1148" s="673"/>
      <c r="F1148" s="673"/>
      <c r="G1148" s="1242"/>
      <c r="H1148" s="1242"/>
      <c r="I1148" s="674"/>
      <c r="J1148" s="674"/>
      <c r="K1148" s="674"/>
      <c r="L1148" s="674"/>
      <c r="M1148" s="674"/>
      <c r="N1148" s="674"/>
      <c r="O1148" s="542"/>
    </row>
    <row r="1149" spans="1:16">
      <c r="C1149" s="672"/>
      <c r="D1149" s="673"/>
      <c r="E1149" s="673"/>
      <c r="F1149" s="673"/>
      <c r="G1149" s="1242"/>
      <c r="H1149" s="1242"/>
      <c r="I1149" s="674"/>
      <c r="J1149" s="674"/>
      <c r="K1149" s="674"/>
      <c r="L1149" s="674"/>
      <c r="M1149" s="674"/>
      <c r="N1149" s="674"/>
      <c r="O1149" s="542"/>
    </row>
    <row r="1150" spans="1:16">
      <c r="C1150" s="1701" t="s">
        <v>460</v>
      </c>
      <c r="D1150" s="1701"/>
      <c r="E1150" s="1701"/>
      <c r="F1150" s="1701"/>
      <c r="G1150" s="1701"/>
      <c r="H1150" s="1701"/>
      <c r="I1150" s="1701"/>
      <c r="J1150" s="1701"/>
      <c r="K1150" s="1701"/>
      <c r="L1150" s="1701"/>
      <c r="M1150" s="1701"/>
      <c r="N1150" s="1701"/>
      <c r="O1150" s="1701"/>
    </row>
    <row r="1151" spans="1:16">
      <c r="C1151" s="1701"/>
      <c r="D1151" s="1701"/>
      <c r="E1151" s="1701"/>
      <c r="F1151" s="1701"/>
      <c r="G1151" s="1701"/>
      <c r="H1151" s="1701"/>
      <c r="I1151" s="1701"/>
      <c r="J1151" s="1701"/>
      <c r="K1151" s="1701"/>
      <c r="L1151" s="1701"/>
      <c r="M1151" s="1701"/>
      <c r="N1151" s="1701"/>
      <c r="O1151" s="1701"/>
    </row>
    <row r="1152" spans="1:16" ht="20.25">
      <c r="A1152" s="675" t="s">
        <v>931</v>
      </c>
      <c r="B1152" s="576"/>
      <c r="C1152" s="655"/>
      <c r="D1152" s="563"/>
      <c r="E1152" s="542"/>
      <c r="F1152" s="645"/>
      <c r="G1152" s="542"/>
      <c r="H1152" s="1241"/>
      <c r="K1152" s="676"/>
      <c r="L1152" s="676"/>
      <c r="M1152" s="676"/>
      <c r="N1152" s="591" t="str">
        <f>"Page "&amp;SUM(P$6:P1152)&amp;" of "</f>
        <v xml:space="preserve">Page 13 of </v>
      </c>
      <c r="O1152" s="592">
        <f>COUNT(P$6:P$59579)</f>
        <v>22</v>
      </c>
      <c r="P1152" s="542">
        <v>1</v>
      </c>
    </row>
    <row r="1153" spans="2:15">
      <c r="B1153" s="576"/>
      <c r="C1153" s="542"/>
      <c r="D1153" s="563"/>
      <c r="E1153" s="542"/>
      <c r="F1153" s="542"/>
      <c r="G1153" s="542"/>
      <c r="H1153" s="1241"/>
      <c r="I1153" s="542"/>
      <c r="J1153" s="588"/>
      <c r="K1153" s="542"/>
      <c r="L1153" s="542"/>
      <c r="M1153" s="542"/>
      <c r="N1153" s="542"/>
      <c r="O1153" s="542"/>
    </row>
    <row r="1154" spans="2:15" ht="18">
      <c r="B1154" s="595" t="s">
        <v>174</v>
      </c>
      <c r="C1154" s="677" t="s">
        <v>290</v>
      </c>
      <c r="D1154" s="563"/>
      <c r="E1154" s="542"/>
      <c r="F1154" s="542"/>
      <c r="G1154" s="542"/>
      <c r="H1154" s="1241"/>
      <c r="I1154" s="1241"/>
      <c r="J1154" s="1242"/>
      <c r="K1154" s="1241"/>
      <c r="L1154" s="1241"/>
      <c r="M1154" s="1241"/>
      <c r="N1154" s="1241"/>
      <c r="O1154" s="542"/>
    </row>
    <row r="1155" spans="2:15" ht="18.75">
      <c r="B1155" s="595"/>
      <c r="C1155" s="594"/>
      <c r="D1155" s="563"/>
      <c r="E1155" s="542"/>
      <c r="F1155" s="542"/>
      <c r="G1155" s="542"/>
      <c r="H1155" s="1241"/>
      <c r="I1155" s="1241"/>
      <c r="J1155" s="1242"/>
      <c r="K1155" s="1241"/>
      <c r="L1155" s="1241"/>
      <c r="M1155" s="1241"/>
      <c r="N1155" s="1241"/>
      <c r="O1155" s="542"/>
    </row>
    <row r="1156" spans="2:15" ht="18.75">
      <c r="B1156" s="595"/>
      <c r="C1156" s="594" t="s">
        <v>291</v>
      </c>
      <c r="D1156" s="563"/>
      <c r="E1156" s="542"/>
      <c r="F1156" s="542"/>
      <c r="G1156" s="542"/>
      <c r="H1156" s="1241"/>
      <c r="I1156" s="1241"/>
      <c r="J1156" s="1242"/>
      <c r="K1156" s="1241"/>
      <c r="L1156" s="1241"/>
      <c r="M1156" s="1241"/>
      <c r="N1156" s="1241"/>
      <c r="O1156" s="542"/>
    </row>
    <row r="1157" spans="2:15" ht="15.75" thickBot="1">
      <c r="C1157" s="396"/>
      <c r="D1157" s="563"/>
      <c r="E1157" s="542"/>
      <c r="F1157" s="542"/>
      <c r="G1157" s="542"/>
      <c r="H1157" s="1241"/>
      <c r="I1157" s="1241"/>
      <c r="J1157" s="1242"/>
      <c r="K1157" s="1241"/>
      <c r="L1157" s="1241"/>
      <c r="M1157" s="1241"/>
      <c r="N1157" s="1241"/>
      <c r="O1157" s="542"/>
    </row>
    <row r="1158" spans="2:15" ht="15.75">
      <c r="C1158" s="596" t="s">
        <v>292</v>
      </c>
      <c r="D1158" s="563"/>
      <c r="E1158" s="542"/>
      <c r="F1158" s="542"/>
      <c r="G1158" s="1276"/>
      <c r="H1158" s="542" t="s">
        <v>271</v>
      </c>
      <c r="I1158" s="542"/>
      <c r="J1158" s="588"/>
      <c r="K1158" s="678" t="s">
        <v>296</v>
      </c>
      <c r="L1158" s="679"/>
      <c r="M1158" s="680"/>
      <c r="N1158" s="1244">
        <f>VLOOKUP(I1164,C1171:O1230,5)</f>
        <v>201237.9123489584</v>
      </c>
      <c r="O1158" s="542"/>
    </row>
    <row r="1159" spans="2:15" ht="15.75">
      <c r="C1159" s="596"/>
      <c r="D1159" s="563"/>
      <c r="E1159" s="542"/>
      <c r="F1159" s="542"/>
      <c r="G1159" s="542"/>
      <c r="H1159" s="1245"/>
      <c r="I1159" s="1245"/>
      <c r="J1159" s="1246"/>
      <c r="K1159" s="683" t="s">
        <v>297</v>
      </c>
      <c r="L1159" s="1247"/>
      <c r="M1159" s="588"/>
      <c r="N1159" s="1248">
        <f>VLOOKUP(I1164,C1171:O1230,6)</f>
        <v>201237.9123489584</v>
      </c>
      <c r="O1159" s="542"/>
    </row>
    <row r="1160" spans="2:15" ht="13.5" thickBot="1">
      <c r="C1160" s="684" t="s">
        <v>293</v>
      </c>
      <c r="D1160" s="1284" t="s">
        <v>946</v>
      </c>
      <c r="E1160" s="1281"/>
      <c r="F1160" s="1281"/>
      <c r="G1160" s="1281"/>
      <c r="H1160" s="872"/>
      <c r="I1160" s="872"/>
      <c r="J1160" s="1242"/>
      <c r="K1160" s="1249" t="s">
        <v>450</v>
      </c>
      <c r="L1160" s="1250"/>
      <c r="M1160" s="1250"/>
      <c r="N1160" s="1251">
        <f>+N1159-N1158</f>
        <v>0</v>
      </c>
      <c r="O1160" s="542"/>
    </row>
    <row r="1161" spans="2:15">
      <c r="C1161" s="686"/>
      <c r="D1161" s="687"/>
      <c r="E1161" s="671"/>
      <c r="F1161" s="671"/>
      <c r="G1161" s="688"/>
      <c r="H1161" s="1241"/>
      <c r="I1161" s="1241"/>
      <c r="J1161" s="1242"/>
      <c r="K1161" s="1241"/>
      <c r="L1161" s="1241"/>
      <c r="M1161" s="1241"/>
      <c r="N1161" s="1241"/>
      <c r="O1161" s="542"/>
    </row>
    <row r="1162" spans="2:15" ht="13.5" thickBot="1">
      <c r="C1162" s="689"/>
      <c r="D1162" s="1252"/>
      <c r="E1162" s="688"/>
      <c r="F1162" s="688"/>
      <c r="G1162" s="688"/>
      <c r="H1162" s="688"/>
      <c r="I1162" s="688"/>
      <c r="J1162" s="691"/>
      <c r="K1162" s="688"/>
      <c r="L1162" s="688"/>
      <c r="M1162" s="688"/>
      <c r="N1162" s="688"/>
      <c r="O1162" s="576"/>
    </row>
    <row r="1163" spans="2:15" ht="13.5" thickBot="1">
      <c r="C1163" s="692" t="s">
        <v>294</v>
      </c>
      <c r="D1163" s="693"/>
      <c r="E1163" s="693"/>
      <c r="F1163" s="693"/>
      <c r="G1163" s="693"/>
      <c r="H1163" s="693"/>
      <c r="I1163" s="694"/>
      <c r="J1163" s="695"/>
      <c r="K1163" s="542"/>
      <c r="L1163" s="542"/>
      <c r="M1163" s="542"/>
      <c r="N1163" s="542"/>
      <c r="O1163" s="696"/>
    </row>
    <row r="1164" spans="2:15" ht="15">
      <c r="C1164" s="697" t="s">
        <v>272</v>
      </c>
      <c r="D1164" s="1253">
        <v>1214619</v>
      </c>
      <c r="E1164" s="655" t="s">
        <v>273</v>
      </c>
      <c r="G1164" s="698"/>
      <c r="H1164" s="698"/>
      <c r="I1164" s="699">
        <v>2018</v>
      </c>
      <c r="J1164" s="586"/>
      <c r="K1164" s="1702" t="s">
        <v>459</v>
      </c>
      <c r="L1164" s="1702"/>
      <c r="M1164" s="1702"/>
      <c r="N1164" s="1702"/>
      <c r="O1164" s="1702"/>
    </row>
    <row r="1165" spans="2:15">
      <c r="C1165" s="697" t="s">
        <v>275</v>
      </c>
      <c r="D1165" s="865">
        <v>2015</v>
      </c>
      <c r="E1165" s="697" t="s">
        <v>276</v>
      </c>
      <c r="F1165" s="698"/>
      <c r="H1165" s="330"/>
      <c r="I1165" s="1254">
        <f>IF(G1158="",0,$F$15)</f>
        <v>0</v>
      </c>
      <c r="J1165" s="700"/>
      <c r="K1165" s="1242" t="s">
        <v>459</v>
      </c>
    </row>
    <row r="1166" spans="2:15">
      <c r="C1166" s="697" t="s">
        <v>277</v>
      </c>
      <c r="D1166" s="1253">
        <v>6</v>
      </c>
      <c r="E1166" s="697" t="s">
        <v>278</v>
      </c>
      <c r="F1166" s="698"/>
      <c r="H1166" s="330"/>
      <c r="I1166" s="701">
        <f>$G$70</f>
        <v>0.15341253840442806</v>
      </c>
      <c r="J1166" s="702"/>
      <c r="K1166" s="330" t="str">
        <f>"          INPUT PROJECTED ARR (WITH &amp; WITHOUT INCENTIVES) FROM EACH PRIOR YEAR"</f>
        <v xml:space="preserve">          INPUT PROJECTED ARR (WITH &amp; WITHOUT INCENTIVES) FROM EACH PRIOR YEAR</v>
      </c>
    </row>
    <row r="1167" spans="2:15">
      <c r="C1167" s="697" t="s">
        <v>279</v>
      </c>
      <c r="D1167" s="703">
        <f>G$79</f>
        <v>44</v>
      </c>
      <c r="E1167" s="697" t="s">
        <v>280</v>
      </c>
      <c r="F1167" s="698"/>
      <c r="H1167" s="330"/>
      <c r="I1167" s="701">
        <f>IF(G1158="",I1166,$G$67)</f>
        <v>0.15341253840442806</v>
      </c>
      <c r="J1167" s="704"/>
      <c r="K1167" s="330" t="s">
        <v>357</v>
      </c>
    </row>
    <row r="1168" spans="2:15" ht="13.5" thickBot="1">
      <c r="C1168" s="697" t="s">
        <v>281</v>
      </c>
      <c r="D1168" s="866" t="s">
        <v>933</v>
      </c>
      <c r="E1168" s="705" t="s">
        <v>282</v>
      </c>
      <c r="F1168" s="706"/>
      <c r="G1168" s="707"/>
      <c r="H1168" s="707"/>
      <c r="I1168" s="1251">
        <f>IF(D1164=0,0,D1164/D1167)</f>
        <v>27604.977272727272</v>
      </c>
      <c r="J1168" s="1242"/>
      <c r="K1168" s="1242" t="s">
        <v>363</v>
      </c>
      <c r="L1168" s="1242"/>
      <c r="M1168" s="1242"/>
      <c r="N1168" s="1242"/>
      <c r="O1168" s="588"/>
    </row>
    <row r="1169" spans="1:15" ht="51">
      <c r="A1169" s="529"/>
      <c r="B1169" s="1255"/>
      <c r="C1169" s="708" t="s">
        <v>272</v>
      </c>
      <c r="D1169" s="1256" t="s">
        <v>283</v>
      </c>
      <c r="E1169" s="1257" t="s">
        <v>284</v>
      </c>
      <c r="F1169" s="1256" t="s">
        <v>285</v>
      </c>
      <c r="G1169" s="1257" t="s">
        <v>356</v>
      </c>
      <c r="H1169" s="1258" t="s">
        <v>356</v>
      </c>
      <c r="I1169" s="708" t="s">
        <v>295</v>
      </c>
      <c r="J1169" s="712"/>
      <c r="K1169" s="1257" t="s">
        <v>365</v>
      </c>
      <c r="L1169" s="1259"/>
      <c r="M1169" s="1257" t="s">
        <v>365</v>
      </c>
      <c r="N1169" s="1259"/>
      <c r="O1169" s="1259"/>
    </row>
    <row r="1170" spans="1:15" ht="13.5" thickBot="1">
      <c r="C1170" s="714" t="s">
        <v>177</v>
      </c>
      <c r="D1170" s="715" t="s">
        <v>178</v>
      </c>
      <c r="E1170" s="714" t="s">
        <v>37</v>
      </c>
      <c r="F1170" s="715" t="s">
        <v>178</v>
      </c>
      <c r="G1170" s="1260" t="s">
        <v>298</v>
      </c>
      <c r="H1170" s="1261" t="s">
        <v>300</v>
      </c>
      <c r="I1170" s="718" t="s">
        <v>389</v>
      </c>
      <c r="J1170" s="719"/>
      <c r="K1170" s="1260" t="s">
        <v>287</v>
      </c>
      <c r="L1170" s="1262"/>
      <c r="M1170" s="1260" t="s">
        <v>300</v>
      </c>
      <c r="N1170" s="1262"/>
      <c r="O1170" s="1262"/>
    </row>
    <row r="1171" spans="1:15">
      <c r="C1171" s="720">
        <f>IF(D1165= "","-",D1165)</f>
        <v>2015</v>
      </c>
      <c r="D1171" s="673">
        <f>+D1164</f>
        <v>1214619</v>
      </c>
      <c r="E1171" s="1263">
        <f>+I1168/12*(12-D1166)</f>
        <v>13802.488636363636</v>
      </c>
      <c r="F1171" s="673">
        <f t="shared" ref="F1171:F1230" si="72">+D1171-E1171</f>
        <v>1200816.5113636365</v>
      </c>
      <c r="G1171" s="1264">
        <f>+$I$1166*((D1171+F1171)/2)+E1171</f>
        <v>199081.53521161026</v>
      </c>
      <c r="H1171" s="1265">
        <f>$I$1167*((D1171+F1171)/2)+E1171</f>
        <v>199081.53521161026</v>
      </c>
      <c r="I1171" s="724">
        <f>+H1171-G1171</f>
        <v>0</v>
      </c>
      <c r="J1171" s="724"/>
      <c r="K1171" s="868">
        <v>247850</v>
      </c>
      <c r="L1171" s="725"/>
      <c r="M1171" s="868">
        <v>247850</v>
      </c>
      <c r="N1171" s="725"/>
      <c r="O1171" s="725"/>
    </row>
    <row r="1172" spans="1:15">
      <c r="C1172" s="720">
        <f>IF(D1165="","-",+C1171+1)</f>
        <v>2016</v>
      </c>
      <c r="D1172" s="673">
        <f t="shared" ref="D1172:D1230" si="73">F1171</f>
        <v>1200816.5113636365</v>
      </c>
      <c r="E1172" s="726">
        <f>IF(D1172&gt;$I$1168,$I$1168,D1172)</f>
        <v>27604.977272727272</v>
      </c>
      <c r="F1172" s="673">
        <f t="shared" si="72"/>
        <v>1173211.5340909092</v>
      </c>
      <c r="G1172" s="1263">
        <f t="shared" ref="G1172:G1230" si="74">+$I$1166*((D1172+F1172)/2)+E1172</f>
        <v>209707.81162096967</v>
      </c>
      <c r="H1172" s="1266">
        <f t="shared" ref="H1172:H1230" si="75">$I$1167*((D1172+F1172)/2)+E1172</f>
        <v>209707.81162096967</v>
      </c>
      <c r="I1172" s="724">
        <f t="shared" ref="I1172:I1230" si="76">+H1172-G1172</f>
        <v>0</v>
      </c>
      <c r="J1172" s="724"/>
      <c r="K1172" s="869">
        <v>216823</v>
      </c>
      <c r="L1172" s="729"/>
      <c r="M1172" s="869">
        <v>216823</v>
      </c>
      <c r="N1172" s="729"/>
      <c r="O1172" s="729"/>
    </row>
    <row r="1173" spans="1:15">
      <c r="C1173" s="720">
        <f>IF(D1165="","-",+C1172+1)</f>
        <v>2017</v>
      </c>
      <c r="D1173" s="673">
        <f t="shared" si="73"/>
        <v>1173211.5340909092</v>
      </c>
      <c r="E1173" s="726">
        <f t="shared" ref="E1173:E1230" si="77">IF(D1173&gt;$I$1168,$I$1168,D1173)</f>
        <v>27604.977272727272</v>
      </c>
      <c r="F1173" s="673">
        <f t="shared" si="72"/>
        <v>1145606.5568181819</v>
      </c>
      <c r="G1173" s="1263">
        <f t="shared" si="74"/>
        <v>205472.86198496399</v>
      </c>
      <c r="H1173" s="1266">
        <f t="shared" si="75"/>
        <v>205472.86198496399</v>
      </c>
      <c r="I1173" s="724">
        <f t="shared" si="76"/>
        <v>0</v>
      </c>
      <c r="J1173" s="724"/>
      <c r="K1173" s="869">
        <v>219628</v>
      </c>
      <c r="L1173" s="729"/>
      <c r="M1173" s="869">
        <v>219628</v>
      </c>
      <c r="N1173" s="729"/>
      <c r="O1173" s="729"/>
    </row>
    <row r="1174" spans="1:15">
      <c r="C1174" s="1268">
        <f>IF(D1165="","-",+C1173+1)</f>
        <v>2018</v>
      </c>
      <c r="D1174" s="1269">
        <f t="shared" si="73"/>
        <v>1145606.5568181819</v>
      </c>
      <c r="E1174" s="1270">
        <f t="shared" si="77"/>
        <v>27604.977272727272</v>
      </c>
      <c r="F1174" s="1269">
        <f t="shared" si="72"/>
        <v>1118001.5795454546</v>
      </c>
      <c r="G1174" s="1271">
        <f t="shared" si="74"/>
        <v>201237.9123489584</v>
      </c>
      <c r="H1174" s="1272">
        <f t="shared" si="75"/>
        <v>201237.9123489584</v>
      </c>
      <c r="I1174" s="1273">
        <f t="shared" si="76"/>
        <v>0</v>
      </c>
      <c r="J1174" s="724"/>
      <c r="K1174" s="869"/>
      <c r="L1174" s="729"/>
      <c r="M1174" s="869"/>
      <c r="N1174" s="729"/>
      <c r="O1174" s="729"/>
    </row>
    <row r="1175" spans="1:15">
      <c r="C1175" s="720">
        <f>IF(D1165="","-",+C1174+1)</f>
        <v>2019</v>
      </c>
      <c r="D1175" s="673">
        <f t="shared" si="73"/>
        <v>1118001.5795454546</v>
      </c>
      <c r="E1175" s="726">
        <f t="shared" si="77"/>
        <v>27604.977272727272</v>
      </c>
      <c r="F1175" s="673">
        <f t="shared" si="72"/>
        <v>1090396.6022727273</v>
      </c>
      <c r="G1175" s="1263">
        <f t="shared" si="74"/>
        <v>197002.96271295272</v>
      </c>
      <c r="H1175" s="1266">
        <f t="shared" si="75"/>
        <v>197002.96271295272</v>
      </c>
      <c r="I1175" s="724">
        <f t="shared" si="76"/>
        <v>0</v>
      </c>
      <c r="J1175" s="724"/>
      <c r="K1175" s="869"/>
      <c r="L1175" s="729"/>
      <c r="M1175" s="869"/>
      <c r="N1175" s="729"/>
      <c r="O1175" s="729"/>
    </row>
    <row r="1176" spans="1:15">
      <c r="C1176" s="720">
        <f>IF(D1165="","-",+C1175+1)</f>
        <v>2020</v>
      </c>
      <c r="D1176" s="673">
        <f t="shared" si="73"/>
        <v>1090396.6022727273</v>
      </c>
      <c r="E1176" s="726">
        <f t="shared" si="77"/>
        <v>27604.977272727272</v>
      </c>
      <c r="F1176" s="673">
        <f t="shared" si="72"/>
        <v>1062791.625</v>
      </c>
      <c r="G1176" s="1263">
        <f t="shared" si="74"/>
        <v>192768.0130769471</v>
      </c>
      <c r="H1176" s="1266">
        <f t="shared" si="75"/>
        <v>192768.0130769471</v>
      </c>
      <c r="I1176" s="724">
        <f t="shared" si="76"/>
        <v>0</v>
      </c>
      <c r="J1176" s="724"/>
      <c r="K1176" s="869"/>
      <c r="L1176" s="729"/>
      <c r="M1176" s="869"/>
      <c r="N1176" s="729"/>
      <c r="O1176" s="729"/>
    </row>
    <row r="1177" spans="1:15">
      <c r="C1177" s="720">
        <f>IF(D1165="","-",+C1176+1)</f>
        <v>2021</v>
      </c>
      <c r="D1177" s="673">
        <f t="shared" si="73"/>
        <v>1062791.625</v>
      </c>
      <c r="E1177" s="726">
        <f t="shared" si="77"/>
        <v>27604.977272727272</v>
      </c>
      <c r="F1177" s="673">
        <f t="shared" si="72"/>
        <v>1035186.6477272727</v>
      </c>
      <c r="G1177" s="1263">
        <f t="shared" si="74"/>
        <v>188533.06344094142</v>
      </c>
      <c r="H1177" s="1266">
        <f t="shared" si="75"/>
        <v>188533.06344094142</v>
      </c>
      <c r="I1177" s="724">
        <f t="shared" si="76"/>
        <v>0</v>
      </c>
      <c r="J1177" s="724"/>
      <c r="K1177" s="869"/>
      <c r="L1177" s="729"/>
      <c r="M1177" s="869"/>
      <c r="N1177" s="729"/>
      <c r="O1177" s="729"/>
    </row>
    <row r="1178" spans="1:15">
      <c r="C1178" s="720">
        <f>IF(D1165="","-",+C1177+1)</f>
        <v>2022</v>
      </c>
      <c r="D1178" s="673">
        <f t="shared" si="73"/>
        <v>1035186.6477272727</v>
      </c>
      <c r="E1178" s="726">
        <f t="shared" si="77"/>
        <v>27604.977272727272</v>
      </c>
      <c r="F1178" s="673">
        <f t="shared" si="72"/>
        <v>1007581.6704545454</v>
      </c>
      <c r="G1178" s="1263">
        <f t="shared" si="74"/>
        <v>184298.1138049358</v>
      </c>
      <c r="H1178" s="1266">
        <f t="shared" si="75"/>
        <v>184298.1138049358</v>
      </c>
      <c r="I1178" s="724">
        <f t="shared" si="76"/>
        <v>0</v>
      </c>
      <c r="J1178" s="724"/>
      <c r="K1178" s="869"/>
      <c r="L1178" s="729"/>
      <c r="M1178" s="869"/>
      <c r="N1178" s="729"/>
      <c r="O1178" s="729"/>
    </row>
    <row r="1179" spans="1:15">
      <c r="C1179" s="720">
        <f>IF(D1165="","-",+C1178+1)</f>
        <v>2023</v>
      </c>
      <c r="D1179" s="673">
        <f t="shared" si="73"/>
        <v>1007581.6704545454</v>
      </c>
      <c r="E1179" s="726">
        <f t="shared" si="77"/>
        <v>27604.977272727272</v>
      </c>
      <c r="F1179" s="673">
        <f t="shared" si="72"/>
        <v>979976.69318181812</v>
      </c>
      <c r="G1179" s="1263">
        <f t="shared" si="74"/>
        <v>180063.16416893018</v>
      </c>
      <c r="H1179" s="1266">
        <f t="shared" si="75"/>
        <v>180063.16416893018</v>
      </c>
      <c r="I1179" s="724">
        <f t="shared" si="76"/>
        <v>0</v>
      </c>
      <c r="J1179" s="724"/>
      <c r="K1179" s="869"/>
      <c r="L1179" s="729"/>
      <c r="M1179" s="869"/>
      <c r="N1179" s="729"/>
      <c r="O1179" s="729"/>
    </row>
    <row r="1180" spans="1:15">
      <c r="C1180" s="720">
        <f>IF(D1165="","-",+C1179+1)</f>
        <v>2024</v>
      </c>
      <c r="D1180" s="673">
        <f t="shared" si="73"/>
        <v>979976.69318181812</v>
      </c>
      <c r="E1180" s="726">
        <f t="shared" si="77"/>
        <v>27604.977272727272</v>
      </c>
      <c r="F1180" s="673">
        <f t="shared" si="72"/>
        <v>952371.71590909082</v>
      </c>
      <c r="G1180" s="1263">
        <f t="shared" si="74"/>
        <v>175828.21453292452</v>
      </c>
      <c r="H1180" s="1266">
        <f t="shared" si="75"/>
        <v>175828.21453292452</v>
      </c>
      <c r="I1180" s="724">
        <f t="shared" si="76"/>
        <v>0</v>
      </c>
      <c r="J1180" s="724"/>
      <c r="K1180" s="869"/>
      <c r="L1180" s="729"/>
      <c r="M1180" s="869"/>
      <c r="N1180" s="729"/>
      <c r="O1180" s="729"/>
    </row>
    <row r="1181" spans="1:15">
      <c r="C1181" s="720">
        <f>IF(D1165="","-",+C1180+1)</f>
        <v>2025</v>
      </c>
      <c r="D1181" s="673">
        <f t="shared" si="73"/>
        <v>952371.71590909082</v>
      </c>
      <c r="E1181" s="726">
        <f t="shared" si="77"/>
        <v>27604.977272727272</v>
      </c>
      <c r="F1181" s="673">
        <f t="shared" si="72"/>
        <v>924766.73863636353</v>
      </c>
      <c r="G1181" s="1263">
        <f t="shared" si="74"/>
        <v>171593.2648969189</v>
      </c>
      <c r="H1181" s="1266">
        <f t="shared" si="75"/>
        <v>171593.2648969189</v>
      </c>
      <c r="I1181" s="724">
        <f t="shared" si="76"/>
        <v>0</v>
      </c>
      <c r="J1181" s="724"/>
      <c r="K1181" s="869"/>
      <c r="L1181" s="729"/>
      <c r="M1181" s="869"/>
      <c r="N1181" s="729"/>
      <c r="O1181" s="729"/>
    </row>
    <row r="1182" spans="1:15">
      <c r="C1182" s="720">
        <f>IF(D1165="","-",+C1181+1)</f>
        <v>2026</v>
      </c>
      <c r="D1182" s="673">
        <f t="shared" si="73"/>
        <v>924766.73863636353</v>
      </c>
      <c r="E1182" s="726">
        <f t="shared" si="77"/>
        <v>27604.977272727272</v>
      </c>
      <c r="F1182" s="673">
        <f t="shared" si="72"/>
        <v>897161.76136363624</v>
      </c>
      <c r="G1182" s="1263">
        <f t="shared" si="74"/>
        <v>167358.31526091325</v>
      </c>
      <c r="H1182" s="1266">
        <f t="shared" si="75"/>
        <v>167358.31526091325</v>
      </c>
      <c r="I1182" s="724">
        <f t="shared" si="76"/>
        <v>0</v>
      </c>
      <c r="J1182" s="724"/>
      <c r="K1182" s="869"/>
      <c r="L1182" s="729"/>
      <c r="M1182" s="869"/>
      <c r="N1182" s="729"/>
      <c r="O1182" s="729"/>
    </row>
    <row r="1183" spans="1:15">
      <c r="C1183" s="720">
        <f>IF(D1165="","-",+C1182+1)</f>
        <v>2027</v>
      </c>
      <c r="D1183" s="673">
        <f t="shared" si="73"/>
        <v>897161.76136363624</v>
      </c>
      <c r="E1183" s="726">
        <f t="shared" si="77"/>
        <v>27604.977272727272</v>
      </c>
      <c r="F1183" s="673">
        <f t="shared" si="72"/>
        <v>869556.78409090894</v>
      </c>
      <c r="G1183" s="1263">
        <f t="shared" si="74"/>
        <v>163123.3656249076</v>
      </c>
      <c r="H1183" s="1266">
        <f t="shared" si="75"/>
        <v>163123.3656249076</v>
      </c>
      <c r="I1183" s="724">
        <f t="shared" si="76"/>
        <v>0</v>
      </c>
      <c r="J1183" s="724"/>
      <c r="K1183" s="869"/>
      <c r="L1183" s="729"/>
      <c r="M1183" s="869"/>
      <c r="N1183" s="729"/>
      <c r="O1183" s="729"/>
    </row>
    <row r="1184" spans="1:15">
      <c r="C1184" s="720">
        <f>IF(D1165="","-",+C1183+1)</f>
        <v>2028</v>
      </c>
      <c r="D1184" s="673">
        <f t="shared" si="73"/>
        <v>869556.78409090894</v>
      </c>
      <c r="E1184" s="726">
        <f t="shared" si="77"/>
        <v>27604.977272727272</v>
      </c>
      <c r="F1184" s="673">
        <f t="shared" si="72"/>
        <v>841951.80681818165</v>
      </c>
      <c r="G1184" s="1263">
        <f t="shared" si="74"/>
        <v>158888.41598890198</v>
      </c>
      <c r="H1184" s="1266">
        <f t="shared" si="75"/>
        <v>158888.41598890198</v>
      </c>
      <c r="I1184" s="724">
        <f t="shared" si="76"/>
        <v>0</v>
      </c>
      <c r="J1184" s="724"/>
      <c r="K1184" s="869"/>
      <c r="L1184" s="729"/>
      <c r="M1184" s="869"/>
      <c r="N1184" s="729"/>
      <c r="O1184" s="729"/>
    </row>
    <row r="1185" spans="3:15">
      <c r="C1185" s="720">
        <f>IF(D1165="","-",+C1184+1)</f>
        <v>2029</v>
      </c>
      <c r="D1185" s="673">
        <f t="shared" si="73"/>
        <v>841951.80681818165</v>
      </c>
      <c r="E1185" s="726">
        <f t="shared" si="77"/>
        <v>27604.977272727272</v>
      </c>
      <c r="F1185" s="673">
        <f t="shared" si="72"/>
        <v>814346.82954545435</v>
      </c>
      <c r="G1185" s="1263">
        <f t="shared" si="74"/>
        <v>154653.46635289633</v>
      </c>
      <c r="H1185" s="1266">
        <f t="shared" si="75"/>
        <v>154653.46635289633</v>
      </c>
      <c r="I1185" s="724">
        <f t="shared" si="76"/>
        <v>0</v>
      </c>
      <c r="J1185" s="724"/>
      <c r="K1185" s="869"/>
      <c r="L1185" s="729"/>
      <c r="M1185" s="869"/>
      <c r="N1185" s="729"/>
      <c r="O1185" s="729"/>
    </row>
    <row r="1186" spans="3:15">
      <c r="C1186" s="720">
        <f>IF(D1165="","-",+C1185+1)</f>
        <v>2030</v>
      </c>
      <c r="D1186" s="673">
        <f t="shared" si="73"/>
        <v>814346.82954545435</v>
      </c>
      <c r="E1186" s="726">
        <f t="shared" si="77"/>
        <v>27604.977272727272</v>
      </c>
      <c r="F1186" s="673">
        <f t="shared" si="72"/>
        <v>786741.85227272706</v>
      </c>
      <c r="G1186" s="1263">
        <f t="shared" si="74"/>
        <v>150418.51671689071</v>
      </c>
      <c r="H1186" s="1266">
        <f t="shared" si="75"/>
        <v>150418.51671689071</v>
      </c>
      <c r="I1186" s="724">
        <f t="shared" si="76"/>
        <v>0</v>
      </c>
      <c r="J1186" s="724"/>
      <c r="K1186" s="869"/>
      <c r="L1186" s="729"/>
      <c r="M1186" s="869"/>
      <c r="N1186" s="729"/>
      <c r="O1186" s="729"/>
    </row>
    <row r="1187" spans="3:15">
      <c r="C1187" s="720">
        <f>IF(D1165="","-",+C1186+1)</f>
        <v>2031</v>
      </c>
      <c r="D1187" s="673">
        <f t="shared" si="73"/>
        <v>786741.85227272706</v>
      </c>
      <c r="E1187" s="726">
        <f t="shared" si="77"/>
        <v>27604.977272727272</v>
      </c>
      <c r="F1187" s="673">
        <f t="shared" si="72"/>
        <v>759136.87499999977</v>
      </c>
      <c r="G1187" s="1263">
        <f t="shared" si="74"/>
        <v>146183.56708088506</v>
      </c>
      <c r="H1187" s="1266">
        <f t="shared" si="75"/>
        <v>146183.56708088506</v>
      </c>
      <c r="I1187" s="724">
        <f t="shared" si="76"/>
        <v>0</v>
      </c>
      <c r="J1187" s="724"/>
      <c r="K1187" s="869"/>
      <c r="L1187" s="729"/>
      <c r="M1187" s="869"/>
      <c r="N1187" s="729"/>
      <c r="O1187" s="729"/>
    </row>
    <row r="1188" spans="3:15">
      <c r="C1188" s="720">
        <f>IF(D1165="","-",+C1187+1)</f>
        <v>2032</v>
      </c>
      <c r="D1188" s="673">
        <f t="shared" si="73"/>
        <v>759136.87499999977</v>
      </c>
      <c r="E1188" s="726">
        <f t="shared" si="77"/>
        <v>27604.977272727272</v>
      </c>
      <c r="F1188" s="673">
        <f t="shared" si="72"/>
        <v>731531.89772727247</v>
      </c>
      <c r="G1188" s="1263">
        <f t="shared" si="74"/>
        <v>141948.61744487943</v>
      </c>
      <c r="H1188" s="1266">
        <f t="shared" si="75"/>
        <v>141948.61744487943</v>
      </c>
      <c r="I1188" s="724">
        <f t="shared" si="76"/>
        <v>0</v>
      </c>
      <c r="J1188" s="724"/>
      <c r="K1188" s="869"/>
      <c r="L1188" s="729"/>
      <c r="M1188" s="869"/>
      <c r="N1188" s="729"/>
      <c r="O1188" s="729"/>
    </row>
    <row r="1189" spans="3:15">
      <c r="C1189" s="720">
        <f>IF(D1165="","-",+C1188+1)</f>
        <v>2033</v>
      </c>
      <c r="D1189" s="673">
        <f t="shared" si="73"/>
        <v>731531.89772727247</v>
      </c>
      <c r="E1189" s="726">
        <f t="shared" si="77"/>
        <v>27604.977272727272</v>
      </c>
      <c r="F1189" s="673">
        <f t="shared" si="72"/>
        <v>703926.92045454518</v>
      </c>
      <c r="G1189" s="1263">
        <f t="shared" si="74"/>
        <v>137713.66780887378</v>
      </c>
      <c r="H1189" s="1266">
        <f t="shared" si="75"/>
        <v>137713.66780887378</v>
      </c>
      <c r="I1189" s="724">
        <f t="shared" si="76"/>
        <v>0</v>
      </c>
      <c r="J1189" s="724"/>
      <c r="K1189" s="869"/>
      <c r="L1189" s="729"/>
      <c r="M1189" s="869"/>
      <c r="N1189" s="729"/>
      <c r="O1189" s="729"/>
    </row>
    <row r="1190" spans="3:15">
      <c r="C1190" s="720">
        <f>IF(D1165="","-",+C1189+1)</f>
        <v>2034</v>
      </c>
      <c r="D1190" s="673">
        <f t="shared" si="73"/>
        <v>703926.92045454518</v>
      </c>
      <c r="E1190" s="726">
        <f t="shared" si="77"/>
        <v>27604.977272727272</v>
      </c>
      <c r="F1190" s="673">
        <f t="shared" si="72"/>
        <v>676321.94318181789</v>
      </c>
      <c r="G1190" s="1263">
        <f t="shared" si="74"/>
        <v>133478.71817286813</v>
      </c>
      <c r="H1190" s="1266">
        <f t="shared" si="75"/>
        <v>133478.71817286813</v>
      </c>
      <c r="I1190" s="724">
        <f t="shared" si="76"/>
        <v>0</v>
      </c>
      <c r="J1190" s="724"/>
      <c r="K1190" s="869"/>
      <c r="L1190" s="729"/>
      <c r="M1190" s="869"/>
      <c r="N1190" s="729"/>
      <c r="O1190" s="729"/>
    </row>
    <row r="1191" spans="3:15">
      <c r="C1191" s="720">
        <f>IF(D1165="","-",+C1190+1)</f>
        <v>2035</v>
      </c>
      <c r="D1191" s="673">
        <f t="shared" si="73"/>
        <v>676321.94318181789</v>
      </c>
      <c r="E1191" s="726">
        <f t="shared" si="77"/>
        <v>27604.977272727272</v>
      </c>
      <c r="F1191" s="673">
        <f t="shared" si="72"/>
        <v>648716.96590909059</v>
      </c>
      <c r="G1191" s="1263">
        <f t="shared" si="74"/>
        <v>129243.76853686251</v>
      </c>
      <c r="H1191" s="1266">
        <f t="shared" si="75"/>
        <v>129243.76853686251</v>
      </c>
      <c r="I1191" s="724">
        <f t="shared" si="76"/>
        <v>0</v>
      </c>
      <c r="J1191" s="724"/>
      <c r="K1191" s="869"/>
      <c r="L1191" s="729"/>
      <c r="M1191" s="869"/>
      <c r="N1191" s="729"/>
      <c r="O1191" s="729"/>
    </row>
    <row r="1192" spans="3:15">
      <c r="C1192" s="720">
        <f>IF(D1165="","-",+C1191+1)</f>
        <v>2036</v>
      </c>
      <c r="D1192" s="673">
        <f t="shared" si="73"/>
        <v>648716.96590909059</v>
      </c>
      <c r="E1192" s="726">
        <f t="shared" si="77"/>
        <v>27604.977272727272</v>
      </c>
      <c r="F1192" s="673">
        <f t="shared" si="72"/>
        <v>621111.9886363633</v>
      </c>
      <c r="G1192" s="1263">
        <f t="shared" si="74"/>
        <v>125008.81890085686</v>
      </c>
      <c r="H1192" s="1266">
        <f t="shared" si="75"/>
        <v>125008.81890085686</v>
      </c>
      <c r="I1192" s="724">
        <f t="shared" si="76"/>
        <v>0</v>
      </c>
      <c r="J1192" s="724"/>
      <c r="K1192" s="869"/>
      <c r="L1192" s="729"/>
      <c r="M1192" s="869"/>
      <c r="N1192" s="729"/>
      <c r="O1192" s="729"/>
    </row>
    <row r="1193" spans="3:15">
      <c r="C1193" s="720">
        <f>IF(D1165="","-",+C1192+1)</f>
        <v>2037</v>
      </c>
      <c r="D1193" s="673">
        <f t="shared" si="73"/>
        <v>621111.9886363633</v>
      </c>
      <c r="E1193" s="726">
        <f t="shared" si="77"/>
        <v>27604.977272727272</v>
      </c>
      <c r="F1193" s="673">
        <f t="shared" si="72"/>
        <v>593507.011363636</v>
      </c>
      <c r="G1193" s="1263">
        <f t="shared" si="74"/>
        <v>120773.86926485121</v>
      </c>
      <c r="H1193" s="1266">
        <f t="shared" si="75"/>
        <v>120773.86926485121</v>
      </c>
      <c r="I1193" s="724">
        <f t="shared" si="76"/>
        <v>0</v>
      </c>
      <c r="J1193" s="724"/>
      <c r="K1193" s="869"/>
      <c r="L1193" s="729"/>
      <c r="M1193" s="869"/>
      <c r="N1193" s="729"/>
      <c r="O1193" s="729"/>
    </row>
    <row r="1194" spans="3:15">
      <c r="C1194" s="720">
        <f>IF(D1165="","-",+C1193+1)</f>
        <v>2038</v>
      </c>
      <c r="D1194" s="673">
        <f t="shared" si="73"/>
        <v>593507.011363636</v>
      </c>
      <c r="E1194" s="726">
        <f t="shared" si="77"/>
        <v>27604.977272727272</v>
      </c>
      <c r="F1194" s="673">
        <f t="shared" si="72"/>
        <v>565902.03409090871</v>
      </c>
      <c r="G1194" s="1263">
        <f t="shared" si="74"/>
        <v>116538.91962884559</v>
      </c>
      <c r="H1194" s="1266">
        <f t="shared" si="75"/>
        <v>116538.91962884559</v>
      </c>
      <c r="I1194" s="724">
        <f t="shared" si="76"/>
        <v>0</v>
      </c>
      <c r="J1194" s="724"/>
      <c r="K1194" s="869"/>
      <c r="L1194" s="729"/>
      <c r="M1194" s="869"/>
      <c r="N1194" s="729"/>
      <c r="O1194" s="729"/>
    </row>
    <row r="1195" spans="3:15">
      <c r="C1195" s="720">
        <f>IF(D1165="","-",+C1194+1)</f>
        <v>2039</v>
      </c>
      <c r="D1195" s="673">
        <f t="shared" si="73"/>
        <v>565902.03409090871</v>
      </c>
      <c r="E1195" s="726">
        <f t="shared" si="77"/>
        <v>27604.977272727272</v>
      </c>
      <c r="F1195" s="673">
        <f t="shared" si="72"/>
        <v>538297.05681818142</v>
      </c>
      <c r="G1195" s="1263">
        <f t="shared" si="74"/>
        <v>112303.96999283994</v>
      </c>
      <c r="H1195" s="1266">
        <f t="shared" si="75"/>
        <v>112303.96999283994</v>
      </c>
      <c r="I1195" s="724">
        <f t="shared" si="76"/>
        <v>0</v>
      </c>
      <c r="J1195" s="724"/>
      <c r="K1195" s="869"/>
      <c r="L1195" s="729"/>
      <c r="M1195" s="869"/>
      <c r="N1195" s="729"/>
      <c r="O1195" s="729"/>
    </row>
    <row r="1196" spans="3:15">
      <c r="C1196" s="720">
        <f>IF(D1165="","-",+C1195+1)</f>
        <v>2040</v>
      </c>
      <c r="D1196" s="673">
        <f t="shared" si="73"/>
        <v>538297.05681818142</v>
      </c>
      <c r="E1196" s="726">
        <f t="shared" si="77"/>
        <v>27604.977272727272</v>
      </c>
      <c r="F1196" s="673">
        <f t="shared" si="72"/>
        <v>510692.07954545412</v>
      </c>
      <c r="G1196" s="1263">
        <f t="shared" si="74"/>
        <v>108069.02035683431</v>
      </c>
      <c r="H1196" s="1266">
        <f t="shared" si="75"/>
        <v>108069.02035683431</v>
      </c>
      <c r="I1196" s="724">
        <f t="shared" si="76"/>
        <v>0</v>
      </c>
      <c r="J1196" s="724"/>
      <c r="K1196" s="869"/>
      <c r="L1196" s="729"/>
      <c r="M1196" s="869"/>
      <c r="N1196" s="729"/>
      <c r="O1196" s="729"/>
    </row>
    <row r="1197" spans="3:15">
      <c r="C1197" s="720">
        <f>IF(D1165="","-",+C1196+1)</f>
        <v>2041</v>
      </c>
      <c r="D1197" s="673">
        <f t="shared" si="73"/>
        <v>510692.07954545412</v>
      </c>
      <c r="E1197" s="726">
        <f t="shared" si="77"/>
        <v>27604.977272727272</v>
      </c>
      <c r="F1197" s="673">
        <f t="shared" si="72"/>
        <v>483087.10227272683</v>
      </c>
      <c r="G1197" s="1263">
        <f t="shared" si="74"/>
        <v>103834.07072082866</v>
      </c>
      <c r="H1197" s="1266">
        <f t="shared" si="75"/>
        <v>103834.07072082866</v>
      </c>
      <c r="I1197" s="724">
        <f t="shared" si="76"/>
        <v>0</v>
      </c>
      <c r="J1197" s="724"/>
      <c r="K1197" s="869"/>
      <c r="L1197" s="729"/>
      <c r="M1197" s="869"/>
      <c r="N1197" s="729"/>
      <c r="O1197" s="729"/>
    </row>
    <row r="1198" spans="3:15">
      <c r="C1198" s="720">
        <f>IF(D1165="","-",+C1197+1)</f>
        <v>2042</v>
      </c>
      <c r="D1198" s="673">
        <f t="shared" si="73"/>
        <v>483087.10227272683</v>
      </c>
      <c r="E1198" s="726">
        <f t="shared" si="77"/>
        <v>27604.977272727272</v>
      </c>
      <c r="F1198" s="673">
        <f t="shared" si="72"/>
        <v>455482.12499999953</v>
      </c>
      <c r="G1198" s="1263">
        <f t="shared" si="74"/>
        <v>99599.121084823011</v>
      </c>
      <c r="H1198" s="1266">
        <f t="shared" si="75"/>
        <v>99599.121084823011</v>
      </c>
      <c r="I1198" s="724">
        <f t="shared" si="76"/>
        <v>0</v>
      </c>
      <c r="J1198" s="724"/>
      <c r="K1198" s="869"/>
      <c r="L1198" s="729"/>
      <c r="M1198" s="869"/>
      <c r="N1198" s="729"/>
      <c r="O1198" s="729"/>
    </row>
    <row r="1199" spans="3:15">
      <c r="C1199" s="720">
        <f>IF(D1165="","-",+C1198+1)</f>
        <v>2043</v>
      </c>
      <c r="D1199" s="673">
        <f t="shared" si="73"/>
        <v>455482.12499999953</v>
      </c>
      <c r="E1199" s="726">
        <f t="shared" si="77"/>
        <v>27604.977272727272</v>
      </c>
      <c r="F1199" s="673">
        <f t="shared" si="72"/>
        <v>427877.14772727224</v>
      </c>
      <c r="G1199" s="1264">
        <f t="shared" si="74"/>
        <v>95364.171448817389</v>
      </c>
      <c r="H1199" s="1266">
        <f t="shared" si="75"/>
        <v>95364.171448817389</v>
      </c>
      <c r="I1199" s="724">
        <f t="shared" si="76"/>
        <v>0</v>
      </c>
      <c r="J1199" s="724"/>
      <c r="K1199" s="869"/>
      <c r="L1199" s="729"/>
      <c r="M1199" s="869"/>
      <c r="N1199" s="729"/>
      <c r="O1199" s="729"/>
    </row>
    <row r="1200" spans="3:15">
      <c r="C1200" s="720">
        <f>IF(D1165="","-",+C1199+1)</f>
        <v>2044</v>
      </c>
      <c r="D1200" s="673">
        <f t="shared" si="73"/>
        <v>427877.14772727224</v>
      </c>
      <c r="E1200" s="726">
        <f t="shared" si="77"/>
        <v>27604.977272727272</v>
      </c>
      <c r="F1200" s="673">
        <f t="shared" si="72"/>
        <v>400272.17045454495</v>
      </c>
      <c r="G1200" s="1263">
        <f t="shared" si="74"/>
        <v>91129.221812811738</v>
      </c>
      <c r="H1200" s="1266">
        <f t="shared" si="75"/>
        <v>91129.221812811738</v>
      </c>
      <c r="I1200" s="724">
        <f t="shared" si="76"/>
        <v>0</v>
      </c>
      <c r="J1200" s="724"/>
      <c r="K1200" s="869"/>
      <c r="L1200" s="729"/>
      <c r="M1200" s="869"/>
      <c r="N1200" s="729"/>
      <c r="O1200" s="729"/>
    </row>
    <row r="1201" spans="3:15">
      <c r="C1201" s="720">
        <f>IF(D1165="","-",+C1200+1)</f>
        <v>2045</v>
      </c>
      <c r="D1201" s="673">
        <f t="shared" si="73"/>
        <v>400272.17045454495</v>
      </c>
      <c r="E1201" s="726">
        <f t="shared" si="77"/>
        <v>27604.977272727272</v>
      </c>
      <c r="F1201" s="673">
        <f t="shared" si="72"/>
        <v>372667.19318181765</v>
      </c>
      <c r="G1201" s="1263">
        <f t="shared" si="74"/>
        <v>86894.272176806102</v>
      </c>
      <c r="H1201" s="1266">
        <f t="shared" si="75"/>
        <v>86894.272176806102</v>
      </c>
      <c r="I1201" s="724">
        <f t="shared" si="76"/>
        <v>0</v>
      </c>
      <c r="J1201" s="724"/>
      <c r="K1201" s="869"/>
      <c r="L1201" s="729"/>
      <c r="M1201" s="869"/>
      <c r="N1201" s="729"/>
      <c r="O1201" s="729"/>
    </row>
    <row r="1202" spans="3:15">
      <c r="C1202" s="720">
        <f>IF(D1165="","-",+C1201+1)</f>
        <v>2046</v>
      </c>
      <c r="D1202" s="673">
        <f t="shared" si="73"/>
        <v>372667.19318181765</v>
      </c>
      <c r="E1202" s="726">
        <f t="shared" si="77"/>
        <v>27604.977272727272</v>
      </c>
      <c r="F1202" s="673">
        <f t="shared" si="72"/>
        <v>345062.21590909036</v>
      </c>
      <c r="G1202" s="1263">
        <f t="shared" si="74"/>
        <v>82659.322540800466</v>
      </c>
      <c r="H1202" s="1266">
        <f t="shared" si="75"/>
        <v>82659.322540800466</v>
      </c>
      <c r="I1202" s="724">
        <f t="shared" si="76"/>
        <v>0</v>
      </c>
      <c r="J1202" s="724"/>
      <c r="K1202" s="869"/>
      <c r="L1202" s="729"/>
      <c r="M1202" s="869"/>
      <c r="N1202" s="729"/>
      <c r="O1202" s="729"/>
    </row>
    <row r="1203" spans="3:15">
      <c r="C1203" s="720">
        <f>IF(D1165="","-",+C1202+1)</f>
        <v>2047</v>
      </c>
      <c r="D1203" s="673">
        <f t="shared" si="73"/>
        <v>345062.21590909036</v>
      </c>
      <c r="E1203" s="726">
        <f t="shared" si="77"/>
        <v>27604.977272727272</v>
      </c>
      <c r="F1203" s="673">
        <f t="shared" si="72"/>
        <v>317457.23863636306</v>
      </c>
      <c r="G1203" s="1263">
        <f t="shared" si="74"/>
        <v>78424.372904794815</v>
      </c>
      <c r="H1203" s="1266">
        <f t="shared" si="75"/>
        <v>78424.372904794815</v>
      </c>
      <c r="I1203" s="724">
        <f t="shared" si="76"/>
        <v>0</v>
      </c>
      <c r="J1203" s="724"/>
      <c r="K1203" s="869"/>
      <c r="L1203" s="729"/>
      <c r="M1203" s="869"/>
      <c r="N1203" s="729"/>
      <c r="O1203" s="729"/>
    </row>
    <row r="1204" spans="3:15">
      <c r="C1204" s="720">
        <f>IF(D1165="","-",+C1203+1)</f>
        <v>2048</v>
      </c>
      <c r="D1204" s="673">
        <f t="shared" si="73"/>
        <v>317457.23863636306</v>
      </c>
      <c r="E1204" s="726">
        <f t="shared" si="77"/>
        <v>27604.977272727272</v>
      </c>
      <c r="F1204" s="673">
        <f t="shared" si="72"/>
        <v>289852.26136363577</v>
      </c>
      <c r="G1204" s="1263">
        <f t="shared" si="74"/>
        <v>74189.423268789193</v>
      </c>
      <c r="H1204" s="1266">
        <f t="shared" si="75"/>
        <v>74189.423268789193</v>
      </c>
      <c r="I1204" s="724">
        <f t="shared" si="76"/>
        <v>0</v>
      </c>
      <c r="J1204" s="724"/>
      <c r="K1204" s="869"/>
      <c r="L1204" s="729"/>
      <c r="M1204" s="869"/>
      <c r="N1204" s="729"/>
      <c r="O1204" s="729"/>
    </row>
    <row r="1205" spans="3:15">
      <c r="C1205" s="720">
        <f>IF(D1165="","-",+C1204+1)</f>
        <v>2049</v>
      </c>
      <c r="D1205" s="673">
        <f t="shared" si="73"/>
        <v>289852.26136363577</v>
      </c>
      <c r="E1205" s="726">
        <f t="shared" si="77"/>
        <v>27604.977272727272</v>
      </c>
      <c r="F1205" s="673">
        <f t="shared" si="72"/>
        <v>262247.28409090848</v>
      </c>
      <c r="G1205" s="1263">
        <f t="shared" si="74"/>
        <v>69954.473632783542</v>
      </c>
      <c r="H1205" s="1266">
        <f t="shared" si="75"/>
        <v>69954.473632783542</v>
      </c>
      <c r="I1205" s="724">
        <f t="shared" si="76"/>
        <v>0</v>
      </c>
      <c r="J1205" s="724"/>
      <c r="K1205" s="869"/>
      <c r="L1205" s="729"/>
      <c r="M1205" s="869"/>
      <c r="N1205" s="729"/>
      <c r="O1205" s="729"/>
    </row>
    <row r="1206" spans="3:15">
      <c r="C1206" s="720">
        <f>IF(D1165="","-",+C1205+1)</f>
        <v>2050</v>
      </c>
      <c r="D1206" s="673">
        <f t="shared" si="73"/>
        <v>262247.28409090848</v>
      </c>
      <c r="E1206" s="726">
        <f t="shared" si="77"/>
        <v>27604.977272727272</v>
      </c>
      <c r="F1206" s="673">
        <f t="shared" si="72"/>
        <v>234642.30681818121</v>
      </c>
      <c r="G1206" s="1263">
        <f t="shared" si="74"/>
        <v>65719.523996777905</v>
      </c>
      <c r="H1206" s="1266">
        <f t="shared" si="75"/>
        <v>65719.523996777905</v>
      </c>
      <c r="I1206" s="724">
        <f t="shared" si="76"/>
        <v>0</v>
      </c>
      <c r="J1206" s="724"/>
      <c r="K1206" s="869"/>
      <c r="L1206" s="729"/>
      <c r="M1206" s="869"/>
      <c r="N1206" s="729"/>
      <c r="O1206" s="729"/>
    </row>
    <row r="1207" spans="3:15">
      <c r="C1207" s="720">
        <f>IF(D1165="","-",+C1206+1)</f>
        <v>2051</v>
      </c>
      <c r="D1207" s="673">
        <f t="shared" si="73"/>
        <v>234642.30681818121</v>
      </c>
      <c r="E1207" s="726">
        <f t="shared" si="77"/>
        <v>27604.977272727272</v>
      </c>
      <c r="F1207" s="673">
        <f t="shared" si="72"/>
        <v>207037.32954545395</v>
      </c>
      <c r="G1207" s="1263">
        <f t="shared" si="74"/>
        <v>61484.574360772276</v>
      </c>
      <c r="H1207" s="1266">
        <f t="shared" si="75"/>
        <v>61484.574360772276</v>
      </c>
      <c r="I1207" s="724">
        <f t="shared" si="76"/>
        <v>0</v>
      </c>
      <c r="J1207" s="724"/>
      <c r="K1207" s="869"/>
      <c r="L1207" s="729"/>
      <c r="M1207" s="869"/>
      <c r="N1207" s="729"/>
      <c r="O1207" s="729"/>
    </row>
    <row r="1208" spans="3:15">
      <c r="C1208" s="720">
        <f>IF(D1165="","-",+C1207+1)</f>
        <v>2052</v>
      </c>
      <c r="D1208" s="673">
        <f t="shared" si="73"/>
        <v>207037.32954545395</v>
      </c>
      <c r="E1208" s="726">
        <f t="shared" si="77"/>
        <v>27604.977272727272</v>
      </c>
      <c r="F1208" s="673">
        <f t="shared" si="72"/>
        <v>179432.35227272668</v>
      </c>
      <c r="G1208" s="1263">
        <f t="shared" si="74"/>
        <v>57249.624724766632</v>
      </c>
      <c r="H1208" s="1266">
        <f t="shared" si="75"/>
        <v>57249.624724766632</v>
      </c>
      <c r="I1208" s="724">
        <f t="shared" si="76"/>
        <v>0</v>
      </c>
      <c r="J1208" s="724"/>
      <c r="K1208" s="869"/>
      <c r="L1208" s="729"/>
      <c r="M1208" s="869"/>
      <c r="N1208" s="729"/>
      <c r="O1208" s="729"/>
    </row>
    <row r="1209" spans="3:15">
      <c r="C1209" s="720">
        <f>IF(D1165="","-",+C1208+1)</f>
        <v>2053</v>
      </c>
      <c r="D1209" s="673">
        <f t="shared" si="73"/>
        <v>179432.35227272668</v>
      </c>
      <c r="E1209" s="726">
        <f t="shared" si="77"/>
        <v>27604.977272727272</v>
      </c>
      <c r="F1209" s="673">
        <f t="shared" si="72"/>
        <v>151827.37499999942</v>
      </c>
      <c r="G1209" s="1263">
        <f t="shared" si="74"/>
        <v>53014.675088761003</v>
      </c>
      <c r="H1209" s="1266">
        <f t="shared" si="75"/>
        <v>53014.675088761003</v>
      </c>
      <c r="I1209" s="724">
        <f t="shared" si="76"/>
        <v>0</v>
      </c>
      <c r="J1209" s="724"/>
      <c r="K1209" s="869"/>
      <c r="L1209" s="729"/>
      <c r="M1209" s="869"/>
      <c r="N1209" s="729"/>
      <c r="O1209" s="729"/>
    </row>
    <row r="1210" spans="3:15">
      <c r="C1210" s="720">
        <f>IF(D1165="","-",+C1209+1)</f>
        <v>2054</v>
      </c>
      <c r="D1210" s="673">
        <f t="shared" si="73"/>
        <v>151827.37499999942</v>
      </c>
      <c r="E1210" s="726">
        <f t="shared" si="77"/>
        <v>27604.977272727272</v>
      </c>
      <c r="F1210" s="673">
        <f t="shared" si="72"/>
        <v>124222.39772727215</v>
      </c>
      <c r="G1210" s="1263">
        <f t="shared" si="74"/>
        <v>48779.72545275536</v>
      </c>
      <c r="H1210" s="1266">
        <f t="shared" si="75"/>
        <v>48779.72545275536</v>
      </c>
      <c r="I1210" s="724">
        <f t="shared" si="76"/>
        <v>0</v>
      </c>
      <c r="J1210" s="724"/>
      <c r="K1210" s="869"/>
      <c r="L1210" s="729"/>
      <c r="M1210" s="869"/>
      <c r="N1210" s="729"/>
      <c r="O1210" s="729"/>
    </row>
    <row r="1211" spans="3:15">
      <c r="C1211" s="720">
        <f>IF(D1165="","-",+C1210+1)</f>
        <v>2055</v>
      </c>
      <c r="D1211" s="673">
        <f t="shared" si="73"/>
        <v>124222.39772727215</v>
      </c>
      <c r="E1211" s="726">
        <f t="shared" si="77"/>
        <v>27604.977272727272</v>
      </c>
      <c r="F1211" s="673">
        <f t="shared" si="72"/>
        <v>96617.420454544888</v>
      </c>
      <c r="G1211" s="1263">
        <f t="shared" si="74"/>
        <v>44544.77581674973</v>
      </c>
      <c r="H1211" s="1266">
        <f t="shared" si="75"/>
        <v>44544.77581674973</v>
      </c>
      <c r="I1211" s="724">
        <f t="shared" si="76"/>
        <v>0</v>
      </c>
      <c r="J1211" s="724"/>
      <c r="K1211" s="869"/>
      <c r="L1211" s="729"/>
      <c r="M1211" s="869"/>
      <c r="N1211" s="729"/>
      <c r="O1211" s="729"/>
    </row>
    <row r="1212" spans="3:15">
      <c r="C1212" s="720">
        <f>IF(D1165="","-",+C1211+1)</f>
        <v>2056</v>
      </c>
      <c r="D1212" s="673">
        <f t="shared" si="73"/>
        <v>96617.420454544888</v>
      </c>
      <c r="E1212" s="726">
        <f t="shared" si="77"/>
        <v>27604.977272727272</v>
      </c>
      <c r="F1212" s="673">
        <f t="shared" si="72"/>
        <v>69012.443181817624</v>
      </c>
      <c r="G1212" s="1263">
        <f t="shared" si="74"/>
        <v>40309.826180744094</v>
      </c>
      <c r="H1212" s="1266">
        <f t="shared" si="75"/>
        <v>40309.826180744094</v>
      </c>
      <c r="I1212" s="724">
        <f t="shared" si="76"/>
        <v>0</v>
      </c>
      <c r="J1212" s="724"/>
      <c r="K1212" s="869"/>
      <c r="L1212" s="729"/>
      <c r="M1212" s="869"/>
      <c r="N1212" s="729"/>
      <c r="O1212" s="729"/>
    </row>
    <row r="1213" spans="3:15">
      <c r="C1213" s="720">
        <f>IF(D1165="","-",+C1212+1)</f>
        <v>2057</v>
      </c>
      <c r="D1213" s="673">
        <f t="shared" si="73"/>
        <v>69012.443181817624</v>
      </c>
      <c r="E1213" s="726">
        <f t="shared" si="77"/>
        <v>27604.977272727272</v>
      </c>
      <c r="F1213" s="673">
        <f t="shared" si="72"/>
        <v>41407.465909090351</v>
      </c>
      <c r="G1213" s="1263">
        <f t="shared" si="74"/>
        <v>36074.876544738458</v>
      </c>
      <c r="H1213" s="1266">
        <f t="shared" si="75"/>
        <v>36074.876544738458</v>
      </c>
      <c r="I1213" s="724">
        <f t="shared" si="76"/>
        <v>0</v>
      </c>
      <c r="J1213" s="724"/>
      <c r="K1213" s="869"/>
      <c r="L1213" s="729"/>
      <c r="M1213" s="869"/>
      <c r="N1213" s="729"/>
      <c r="O1213" s="729"/>
    </row>
    <row r="1214" spans="3:15">
      <c r="C1214" s="720">
        <f>IF(D1165="","-",+C1213+1)</f>
        <v>2058</v>
      </c>
      <c r="D1214" s="673">
        <f t="shared" si="73"/>
        <v>41407.465909090351</v>
      </c>
      <c r="E1214" s="726">
        <f t="shared" si="77"/>
        <v>27604.977272727272</v>
      </c>
      <c r="F1214" s="673">
        <f t="shared" si="72"/>
        <v>13802.488636363079</v>
      </c>
      <c r="G1214" s="1263">
        <f t="shared" si="74"/>
        <v>31839.926908732821</v>
      </c>
      <c r="H1214" s="1266">
        <f t="shared" si="75"/>
        <v>31839.926908732821</v>
      </c>
      <c r="I1214" s="724">
        <f t="shared" si="76"/>
        <v>0</v>
      </c>
      <c r="J1214" s="724"/>
      <c r="K1214" s="869"/>
      <c r="L1214" s="729"/>
      <c r="M1214" s="869"/>
      <c r="N1214" s="729"/>
      <c r="O1214" s="729"/>
    </row>
    <row r="1215" spans="3:15">
      <c r="C1215" s="720">
        <f>IF(D1165="","-",+C1214+1)</f>
        <v>2059</v>
      </c>
      <c r="D1215" s="673">
        <f t="shared" si="73"/>
        <v>13802.488636363079</v>
      </c>
      <c r="E1215" s="726">
        <f t="shared" si="77"/>
        <v>13802.488636363079</v>
      </c>
      <c r="F1215" s="673">
        <f t="shared" si="72"/>
        <v>0</v>
      </c>
      <c r="G1215" s="1263">
        <f t="shared" si="74"/>
        <v>14861.226045364445</v>
      </c>
      <c r="H1215" s="1266">
        <f t="shared" si="75"/>
        <v>14861.226045364445</v>
      </c>
      <c r="I1215" s="724">
        <f t="shared" si="76"/>
        <v>0</v>
      </c>
      <c r="J1215" s="724"/>
      <c r="K1215" s="869"/>
      <c r="L1215" s="729"/>
      <c r="M1215" s="869"/>
      <c r="N1215" s="729"/>
      <c r="O1215" s="729"/>
    </row>
    <row r="1216" spans="3:15">
      <c r="C1216" s="720">
        <f>IF(D1165="","-",+C1215+1)</f>
        <v>2060</v>
      </c>
      <c r="D1216" s="673">
        <f t="shared" si="73"/>
        <v>0</v>
      </c>
      <c r="E1216" s="726">
        <f t="shared" si="77"/>
        <v>0</v>
      </c>
      <c r="F1216" s="673">
        <f t="shared" si="72"/>
        <v>0</v>
      </c>
      <c r="G1216" s="1263">
        <f t="shared" si="74"/>
        <v>0</v>
      </c>
      <c r="H1216" s="1266">
        <f t="shared" si="75"/>
        <v>0</v>
      </c>
      <c r="I1216" s="724">
        <f t="shared" si="76"/>
        <v>0</v>
      </c>
      <c r="J1216" s="724"/>
      <c r="K1216" s="869"/>
      <c r="L1216" s="729"/>
      <c r="M1216" s="869"/>
      <c r="N1216" s="729"/>
      <c r="O1216" s="729"/>
    </row>
    <row r="1217" spans="3:15">
      <c r="C1217" s="720">
        <f>IF(D1165="","-",+C1216+1)</f>
        <v>2061</v>
      </c>
      <c r="D1217" s="673">
        <f t="shared" si="73"/>
        <v>0</v>
      </c>
      <c r="E1217" s="726">
        <f t="shared" si="77"/>
        <v>0</v>
      </c>
      <c r="F1217" s="673">
        <f t="shared" si="72"/>
        <v>0</v>
      </c>
      <c r="G1217" s="1263">
        <f t="shared" si="74"/>
        <v>0</v>
      </c>
      <c r="H1217" s="1266">
        <f t="shared" si="75"/>
        <v>0</v>
      </c>
      <c r="I1217" s="724">
        <f t="shared" si="76"/>
        <v>0</v>
      </c>
      <c r="J1217" s="724"/>
      <c r="K1217" s="869"/>
      <c r="L1217" s="729"/>
      <c r="M1217" s="869"/>
      <c r="N1217" s="729"/>
      <c r="O1217" s="729"/>
    </row>
    <row r="1218" spans="3:15">
      <c r="C1218" s="720">
        <f>IF(D1165="","-",+C1217+1)</f>
        <v>2062</v>
      </c>
      <c r="D1218" s="673">
        <f t="shared" si="73"/>
        <v>0</v>
      </c>
      <c r="E1218" s="726">
        <f t="shared" si="77"/>
        <v>0</v>
      </c>
      <c r="F1218" s="673">
        <f t="shared" si="72"/>
        <v>0</v>
      </c>
      <c r="G1218" s="1263">
        <f t="shared" si="74"/>
        <v>0</v>
      </c>
      <c r="H1218" s="1266">
        <f t="shared" si="75"/>
        <v>0</v>
      </c>
      <c r="I1218" s="724">
        <f t="shared" si="76"/>
        <v>0</v>
      </c>
      <c r="J1218" s="724"/>
      <c r="K1218" s="869"/>
      <c r="L1218" s="729"/>
      <c r="M1218" s="869"/>
      <c r="N1218" s="729"/>
      <c r="O1218" s="729"/>
    </row>
    <row r="1219" spans="3:15">
      <c r="C1219" s="720">
        <f>IF(D1165="","-",+C1218+1)</f>
        <v>2063</v>
      </c>
      <c r="D1219" s="673">
        <f t="shared" si="73"/>
        <v>0</v>
      </c>
      <c r="E1219" s="726">
        <f t="shared" si="77"/>
        <v>0</v>
      </c>
      <c r="F1219" s="673">
        <f t="shared" si="72"/>
        <v>0</v>
      </c>
      <c r="G1219" s="1263">
        <f t="shared" si="74"/>
        <v>0</v>
      </c>
      <c r="H1219" s="1266">
        <f t="shared" si="75"/>
        <v>0</v>
      </c>
      <c r="I1219" s="724">
        <f t="shared" si="76"/>
        <v>0</v>
      </c>
      <c r="J1219" s="724"/>
      <c r="K1219" s="869"/>
      <c r="L1219" s="729"/>
      <c r="M1219" s="869"/>
      <c r="N1219" s="729"/>
      <c r="O1219" s="729"/>
    </row>
    <row r="1220" spans="3:15">
      <c r="C1220" s="720">
        <f>IF(D1165="","-",+C1219+1)</f>
        <v>2064</v>
      </c>
      <c r="D1220" s="673">
        <f t="shared" si="73"/>
        <v>0</v>
      </c>
      <c r="E1220" s="726">
        <f t="shared" si="77"/>
        <v>0</v>
      </c>
      <c r="F1220" s="673">
        <f t="shared" si="72"/>
        <v>0</v>
      </c>
      <c r="G1220" s="1263">
        <f t="shared" si="74"/>
        <v>0</v>
      </c>
      <c r="H1220" s="1266">
        <f t="shared" si="75"/>
        <v>0</v>
      </c>
      <c r="I1220" s="724">
        <f t="shared" si="76"/>
        <v>0</v>
      </c>
      <c r="J1220" s="724"/>
      <c r="K1220" s="869"/>
      <c r="L1220" s="729"/>
      <c r="M1220" s="869"/>
      <c r="N1220" s="729"/>
      <c r="O1220" s="729"/>
    </row>
    <row r="1221" spans="3:15">
      <c r="C1221" s="720">
        <f>IF(D1165="","-",+C1220+1)</f>
        <v>2065</v>
      </c>
      <c r="D1221" s="673">
        <f t="shared" si="73"/>
        <v>0</v>
      </c>
      <c r="E1221" s="726">
        <f t="shared" si="77"/>
        <v>0</v>
      </c>
      <c r="F1221" s="673">
        <f t="shared" si="72"/>
        <v>0</v>
      </c>
      <c r="G1221" s="1263">
        <f t="shared" si="74"/>
        <v>0</v>
      </c>
      <c r="H1221" s="1266">
        <f t="shared" si="75"/>
        <v>0</v>
      </c>
      <c r="I1221" s="724">
        <f t="shared" si="76"/>
        <v>0</v>
      </c>
      <c r="J1221" s="724"/>
      <c r="K1221" s="869"/>
      <c r="L1221" s="729"/>
      <c r="M1221" s="869"/>
      <c r="N1221" s="729"/>
      <c r="O1221" s="729"/>
    </row>
    <row r="1222" spans="3:15">
      <c r="C1222" s="720">
        <f>IF(D1165="","-",+C1221+1)</f>
        <v>2066</v>
      </c>
      <c r="D1222" s="673">
        <f t="shared" si="73"/>
        <v>0</v>
      </c>
      <c r="E1222" s="726">
        <f t="shared" si="77"/>
        <v>0</v>
      </c>
      <c r="F1222" s="673">
        <f t="shared" si="72"/>
        <v>0</v>
      </c>
      <c r="G1222" s="1263">
        <f t="shared" si="74"/>
        <v>0</v>
      </c>
      <c r="H1222" s="1266">
        <f t="shared" si="75"/>
        <v>0</v>
      </c>
      <c r="I1222" s="724">
        <f t="shared" si="76"/>
        <v>0</v>
      </c>
      <c r="J1222" s="724"/>
      <c r="K1222" s="869"/>
      <c r="L1222" s="729"/>
      <c r="M1222" s="869"/>
      <c r="N1222" s="729"/>
      <c r="O1222" s="729"/>
    </row>
    <row r="1223" spans="3:15">
      <c r="C1223" s="720">
        <f>IF(D1165="","-",+C1222+1)</f>
        <v>2067</v>
      </c>
      <c r="D1223" s="673">
        <f t="shared" si="73"/>
        <v>0</v>
      </c>
      <c r="E1223" s="726">
        <f t="shared" si="77"/>
        <v>0</v>
      </c>
      <c r="F1223" s="673">
        <f t="shared" si="72"/>
        <v>0</v>
      </c>
      <c r="G1223" s="1263">
        <f t="shared" si="74"/>
        <v>0</v>
      </c>
      <c r="H1223" s="1266">
        <f t="shared" si="75"/>
        <v>0</v>
      </c>
      <c r="I1223" s="724">
        <f t="shared" si="76"/>
        <v>0</v>
      </c>
      <c r="J1223" s="724"/>
      <c r="K1223" s="869"/>
      <c r="L1223" s="729"/>
      <c r="M1223" s="869"/>
      <c r="N1223" s="729"/>
      <c r="O1223" s="729"/>
    </row>
    <row r="1224" spans="3:15">
      <c r="C1224" s="720">
        <f>IF(D1165="","-",+C1223+1)</f>
        <v>2068</v>
      </c>
      <c r="D1224" s="673">
        <f t="shared" si="73"/>
        <v>0</v>
      </c>
      <c r="E1224" s="726">
        <f t="shared" si="77"/>
        <v>0</v>
      </c>
      <c r="F1224" s="673">
        <f t="shared" si="72"/>
        <v>0</v>
      </c>
      <c r="G1224" s="1263">
        <f t="shared" si="74"/>
        <v>0</v>
      </c>
      <c r="H1224" s="1266">
        <f t="shared" si="75"/>
        <v>0</v>
      </c>
      <c r="I1224" s="724">
        <f t="shared" si="76"/>
        <v>0</v>
      </c>
      <c r="J1224" s="724"/>
      <c r="K1224" s="869"/>
      <c r="L1224" s="729"/>
      <c r="M1224" s="869"/>
      <c r="N1224" s="729"/>
      <c r="O1224" s="729"/>
    </row>
    <row r="1225" spans="3:15">
      <c r="C1225" s="720">
        <f>IF(D1165="","-",+C1224+1)</f>
        <v>2069</v>
      </c>
      <c r="D1225" s="673">
        <f t="shared" si="73"/>
        <v>0</v>
      </c>
      <c r="E1225" s="726">
        <f t="shared" si="77"/>
        <v>0</v>
      </c>
      <c r="F1225" s="673">
        <f t="shared" si="72"/>
        <v>0</v>
      </c>
      <c r="G1225" s="1263">
        <f t="shared" si="74"/>
        <v>0</v>
      </c>
      <c r="H1225" s="1266">
        <f t="shared" si="75"/>
        <v>0</v>
      </c>
      <c r="I1225" s="724">
        <f t="shared" si="76"/>
        <v>0</v>
      </c>
      <c r="J1225" s="724"/>
      <c r="K1225" s="869"/>
      <c r="L1225" s="729"/>
      <c r="M1225" s="869"/>
      <c r="N1225" s="729"/>
      <c r="O1225" s="729"/>
    </row>
    <row r="1226" spans="3:15">
      <c r="C1226" s="720">
        <f>IF(D1165="","-",+C1225+1)</f>
        <v>2070</v>
      </c>
      <c r="D1226" s="673">
        <f t="shared" si="73"/>
        <v>0</v>
      </c>
      <c r="E1226" s="726">
        <f t="shared" si="77"/>
        <v>0</v>
      </c>
      <c r="F1226" s="673">
        <f t="shared" si="72"/>
        <v>0</v>
      </c>
      <c r="G1226" s="1263">
        <f t="shared" si="74"/>
        <v>0</v>
      </c>
      <c r="H1226" s="1266">
        <f t="shared" si="75"/>
        <v>0</v>
      </c>
      <c r="I1226" s="724">
        <f t="shared" si="76"/>
        <v>0</v>
      </c>
      <c r="J1226" s="724"/>
      <c r="K1226" s="869"/>
      <c r="L1226" s="729"/>
      <c r="M1226" s="869"/>
      <c r="N1226" s="729"/>
      <c r="O1226" s="729"/>
    </row>
    <row r="1227" spans="3:15">
      <c r="C1227" s="720">
        <f>IF(D1165="","-",+C1226+1)</f>
        <v>2071</v>
      </c>
      <c r="D1227" s="673">
        <f t="shared" si="73"/>
        <v>0</v>
      </c>
      <c r="E1227" s="726">
        <f t="shared" si="77"/>
        <v>0</v>
      </c>
      <c r="F1227" s="673">
        <f t="shared" si="72"/>
        <v>0</v>
      </c>
      <c r="G1227" s="1263">
        <f t="shared" si="74"/>
        <v>0</v>
      </c>
      <c r="H1227" s="1266">
        <f t="shared" si="75"/>
        <v>0</v>
      </c>
      <c r="I1227" s="724">
        <f t="shared" si="76"/>
        <v>0</v>
      </c>
      <c r="J1227" s="724"/>
      <c r="K1227" s="869"/>
      <c r="L1227" s="729"/>
      <c r="M1227" s="869"/>
      <c r="N1227" s="729"/>
      <c r="O1227" s="729"/>
    </row>
    <row r="1228" spans="3:15">
      <c r="C1228" s="720">
        <f>IF(D1165="","-",+C1227+1)</f>
        <v>2072</v>
      </c>
      <c r="D1228" s="673">
        <f t="shared" si="73"/>
        <v>0</v>
      </c>
      <c r="E1228" s="726">
        <f t="shared" si="77"/>
        <v>0</v>
      </c>
      <c r="F1228" s="673">
        <f t="shared" si="72"/>
        <v>0</v>
      </c>
      <c r="G1228" s="1263">
        <f t="shared" si="74"/>
        <v>0</v>
      </c>
      <c r="H1228" s="1266">
        <f t="shared" si="75"/>
        <v>0</v>
      </c>
      <c r="I1228" s="724">
        <f t="shared" si="76"/>
        <v>0</v>
      </c>
      <c r="J1228" s="724"/>
      <c r="K1228" s="869"/>
      <c r="L1228" s="729"/>
      <c r="M1228" s="869"/>
      <c r="N1228" s="729"/>
      <c r="O1228" s="729"/>
    </row>
    <row r="1229" spans="3:15">
      <c r="C1229" s="720">
        <f>IF(D1165="","-",+C1228+1)</f>
        <v>2073</v>
      </c>
      <c r="D1229" s="673">
        <f t="shared" si="73"/>
        <v>0</v>
      </c>
      <c r="E1229" s="726">
        <f t="shared" si="77"/>
        <v>0</v>
      </c>
      <c r="F1229" s="673">
        <f t="shared" si="72"/>
        <v>0</v>
      </c>
      <c r="G1229" s="1263">
        <f t="shared" si="74"/>
        <v>0</v>
      </c>
      <c r="H1229" s="1266">
        <f t="shared" si="75"/>
        <v>0</v>
      </c>
      <c r="I1229" s="724">
        <f t="shared" si="76"/>
        <v>0</v>
      </c>
      <c r="J1229" s="724"/>
      <c r="K1229" s="869"/>
      <c r="L1229" s="729"/>
      <c r="M1229" s="869"/>
      <c r="N1229" s="729"/>
      <c r="O1229" s="729"/>
    </row>
    <row r="1230" spans="3:15" ht="13.5" thickBot="1">
      <c r="C1230" s="730">
        <f>IF(D1165="","-",+C1229+1)</f>
        <v>2074</v>
      </c>
      <c r="D1230" s="731">
        <f t="shared" si="73"/>
        <v>0</v>
      </c>
      <c r="E1230" s="732">
        <f t="shared" si="77"/>
        <v>0</v>
      </c>
      <c r="F1230" s="731">
        <f t="shared" si="72"/>
        <v>0</v>
      </c>
      <c r="G1230" s="1274">
        <f t="shared" si="74"/>
        <v>0</v>
      </c>
      <c r="H1230" s="1274">
        <f t="shared" si="75"/>
        <v>0</v>
      </c>
      <c r="I1230" s="734">
        <f t="shared" si="76"/>
        <v>0</v>
      </c>
      <c r="J1230" s="724"/>
      <c r="K1230" s="870"/>
      <c r="L1230" s="736"/>
      <c r="M1230" s="870"/>
      <c r="N1230" s="736"/>
      <c r="O1230" s="736"/>
    </row>
    <row r="1231" spans="3:15">
      <c r="C1231" s="673" t="s">
        <v>288</v>
      </c>
      <c r="D1231" s="1242"/>
      <c r="E1231" s="673"/>
      <c r="F1231" s="1242"/>
      <c r="G1231" s="1242">
        <f>SUM(G1171:G1230)</f>
        <v>5407219.1396455765</v>
      </c>
      <c r="H1231" s="1242">
        <f>SUM(H1171:H1230)</f>
        <v>5407219.1396455765</v>
      </c>
      <c r="I1231" s="1242">
        <f>SUM(I1171:I1230)</f>
        <v>0</v>
      </c>
      <c r="J1231" s="1242"/>
      <c r="K1231" s="1242"/>
      <c r="L1231" s="1242"/>
      <c r="M1231" s="1242"/>
      <c r="N1231" s="1242"/>
      <c r="O1231" s="542"/>
    </row>
    <row r="1232" spans="3:15">
      <c r="D1232" s="563"/>
      <c r="E1232" s="542"/>
      <c r="F1232" s="542"/>
      <c r="G1232" s="542"/>
      <c r="H1232" s="1241"/>
      <c r="I1232" s="1241"/>
      <c r="J1232" s="1242"/>
      <c r="K1232" s="1241"/>
      <c r="L1232" s="1241"/>
      <c r="M1232" s="1241"/>
      <c r="N1232" s="1241"/>
      <c r="O1232" s="542"/>
    </row>
    <row r="1233" spans="1:16">
      <c r="C1233" s="542" t="s">
        <v>595</v>
      </c>
      <c r="D1233" s="563"/>
      <c r="E1233" s="542"/>
      <c r="F1233" s="542"/>
      <c r="G1233" s="542"/>
      <c r="H1233" s="1241"/>
      <c r="I1233" s="1241"/>
      <c r="J1233" s="1242"/>
      <c r="K1233" s="1241"/>
      <c r="L1233" s="1241"/>
      <c r="M1233" s="1241"/>
      <c r="N1233" s="1241"/>
      <c r="O1233" s="542"/>
    </row>
    <row r="1234" spans="1:16">
      <c r="C1234" s="542"/>
      <c r="D1234" s="563"/>
      <c r="E1234" s="542"/>
      <c r="F1234" s="542"/>
      <c r="G1234" s="542"/>
      <c r="H1234" s="1241"/>
      <c r="I1234" s="1241"/>
      <c r="J1234" s="1242"/>
      <c r="K1234" s="1241"/>
      <c r="L1234" s="1241"/>
      <c r="M1234" s="1241"/>
      <c r="N1234" s="1241"/>
      <c r="O1234" s="542"/>
    </row>
    <row r="1235" spans="1:16">
      <c r="C1235" s="684" t="s">
        <v>934</v>
      </c>
      <c r="D1235" s="673"/>
      <c r="E1235" s="673"/>
      <c r="F1235" s="673"/>
      <c r="G1235" s="1242"/>
      <c r="H1235" s="1242"/>
      <c r="I1235" s="674"/>
      <c r="J1235" s="674"/>
      <c r="K1235" s="674"/>
      <c r="L1235" s="674"/>
      <c r="M1235" s="674"/>
      <c r="N1235" s="674"/>
      <c r="O1235" s="542"/>
    </row>
    <row r="1236" spans="1:16">
      <c r="C1236" s="684" t="s">
        <v>476</v>
      </c>
      <c r="D1236" s="673"/>
      <c r="E1236" s="673"/>
      <c r="F1236" s="673"/>
      <c r="G1236" s="1242"/>
      <c r="H1236" s="1242"/>
      <c r="I1236" s="674"/>
      <c r="J1236" s="674"/>
      <c r="K1236" s="674"/>
      <c r="L1236" s="674"/>
      <c r="M1236" s="674"/>
      <c r="N1236" s="674"/>
      <c r="O1236" s="542"/>
    </row>
    <row r="1237" spans="1:16">
      <c r="C1237" s="672" t="s">
        <v>289</v>
      </c>
      <c r="D1237" s="673"/>
      <c r="E1237" s="673"/>
      <c r="F1237" s="673"/>
      <c r="G1237" s="1242"/>
      <c r="H1237" s="1242"/>
      <c r="I1237" s="674"/>
      <c r="J1237" s="674"/>
      <c r="K1237" s="674"/>
      <c r="L1237" s="674"/>
      <c r="M1237" s="674"/>
      <c r="N1237" s="674"/>
      <c r="O1237" s="542"/>
    </row>
    <row r="1238" spans="1:16">
      <c r="C1238" s="672"/>
      <c r="D1238" s="673"/>
      <c r="E1238" s="673"/>
      <c r="F1238" s="673"/>
      <c r="G1238" s="1242"/>
      <c r="H1238" s="1242"/>
      <c r="I1238" s="674"/>
      <c r="J1238" s="674"/>
      <c r="K1238" s="674"/>
      <c r="L1238" s="674"/>
      <c r="M1238" s="674"/>
      <c r="N1238" s="674"/>
      <c r="O1238" s="542"/>
    </row>
    <row r="1239" spans="1:16">
      <c r="C1239" s="1701" t="s">
        <v>460</v>
      </c>
      <c r="D1239" s="1701"/>
      <c r="E1239" s="1701"/>
      <c r="F1239" s="1701"/>
      <c r="G1239" s="1701"/>
      <c r="H1239" s="1701"/>
      <c r="I1239" s="1701"/>
      <c r="J1239" s="1701"/>
      <c r="K1239" s="1701"/>
      <c r="L1239" s="1701"/>
      <c r="M1239" s="1701"/>
      <c r="N1239" s="1701"/>
      <c r="O1239" s="1701"/>
    </row>
    <row r="1240" spans="1:16">
      <c r="C1240" s="1701"/>
      <c r="D1240" s="1701"/>
      <c r="E1240" s="1701"/>
      <c r="F1240" s="1701"/>
      <c r="G1240" s="1701"/>
      <c r="H1240" s="1701"/>
      <c r="I1240" s="1701"/>
      <c r="J1240" s="1701"/>
      <c r="K1240" s="1701"/>
      <c r="L1240" s="1701"/>
      <c r="M1240" s="1701"/>
      <c r="N1240" s="1701"/>
      <c r="O1240" s="1701"/>
    </row>
    <row r="1241" spans="1:16" ht="20.25">
      <c r="A1241" s="675" t="s">
        <v>931</v>
      </c>
      <c r="B1241" s="576"/>
      <c r="C1241" s="655"/>
      <c r="D1241" s="563"/>
      <c r="E1241" s="542"/>
      <c r="F1241" s="645"/>
      <c r="G1241" s="542"/>
      <c r="H1241" s="1241"/>
      <c r="K1241" s="676"/>
      <c r="L1241" s="676"/>
      <c r="M1241" s="676"/>
      <c r="N1241" s="591" t="str">
        <f>"Page "&amp;SUM(P$6:P1241)&amp;" of "</f>
        <v xml:space="preserve">Page 14 of </v>
      </c>
      <c r="O1241" s="592">
        <f>COUNT(P$6:P$59579)</f>
        <v>22</v>
      </c>
      <c r="P1241" s="542">
        <v>1</v>
      </c>
    </row>
    <row r="1242" spans="1:16">
      <c r="B1242" s="576"/>
      <c r="C1242" s="542"/>
      <c r="D1242" s="563"/>
      <c r="E1242" s="542"/>
      <c r="F1242" s="542"/>
      <c r="G1242" s="542"/>
      <c r="H1242" s="1241"/>
      <c r="I1242" s="542"/>
      <c r="J1242" s="588"/>
      <c r="K1242" s="542"/>
      <c r="L1242" s="542"/>
      <c r="M1242" s="542"/>
      <c r="N1242" s="542"/>
      <c r="O1242" s="542"/>
    </row>
    <row r="1243" spans="1:16" ht="18">
      <c r="B1243" s="595" t="s">
        <v>174</v>
      </c>
      <c r="C1243" s="677" t="s">
        <v>290</v>
      </c>
      <c r="D1243" s="563"/>
      <c r="E1243" s="542"/>
      <c r="F1243" s="542"/>
      <c r="G1243" s="542"/>
      <c r="H1243" s="1241"/>
      <c r="I1243" s="1241"/>
      <c r="J1243" s="1242"/>
      <c r="K1243" s="1241"/>
      <c r="L1243" s="1241"/>
      <c r="M1243" s="1241"/>
      <c r="N1243" s="1241"/>
      <c r="O1243" s="542"/>
    </row>
    <row r="1244" spans="1:16" ht="18.75">
      <c r="B1244" s="595"/>
      <c r="C1244" s="594"/>
      <c r="D1244" s="563"/>
      <c r="E1244" s="542"/>
      <c r="F1244" s="542"/>
      <c r="G1244" s="542"/>
      <c r="H1244" s="1241"/>
      <c r="I1244" s="1241"/>
      <c r="J1244" s="1242"/>
      <c r="K1244" s="1241"/>
      <c r="L1244" s="1241"/>
      <c r="M1244" s="1241"/>
      <c r="N1244" s="1241"/>
      <c r="O1244" s="542"/>
    </row>
    <row r="1245" spans="1:16" ht="18.75">
      <c r="B1245" s="595"/>
      <c r="C1245" s="594" t="s">
        <v>291</v>
      </c>
      <c r="D1245" s="563"/>
      <c r="E1245" s="542"/>
      <c r="F1245" s="542"/>
      <c r="G1245" s="542"/>
      <c r="H1245" s="1241"/>
      <c r="I1245" s="1241"/>
      <c r="J1245" s="1242"/>
      <c r="K1245" s="1241"/>
      <c r="L1245" s="1241"/>
      <c r="M1245" s="1241"/>
      <c r="N1245" s="1241"/>
      <c r="O1245" s="542"/>
    </row>
    <row r="1246" spans="1:16" ht="15.75" thickBot="1">
      <c r="C1246" s="396"/>
      <c r="D1246" s="563"/>
      <c r="E1246" s="542"/>
      <c r="F1246" s="542"/>
      <c r="G1246" s="542"/>
      <c r="H1246" s="1241"/>
      <c r="I1246" s="1241"/>
      <c r="J1246" s="1242"/>
      <c r="K1246" s="1241"/>
      <c r="L1246" s="1241"/>
      <c r="M1246" s="1241"/>
      <c r="N1246" s="1241"/>
      <c r="O1246" s="542"/>
    </row>
    <row r="1247" spans="1:16" ht="15.75">
      <c r="C1247" s="596" t="s">
        <v>292</v>
      </c>
      <c r="D1247" s="563"/>
      <c r="E1247" s="542"/>
      <c r="F1247" s="542"/>
      <c r="G1247" s="1276"/>
      <c r="H1247" s="542" t="s">
        <v>271</v>
      </c>
      <c r="I1247" s="542"/>
      <c r="J1247" s="588"/>
      <c r="K1247" s="678" t="s">
        <v>296</v>
      </c>
      <c r="L1247" s="679"/>
      <c r="M1247" s="680"/>
      <c r="N1247" s="1244">
        <f>VLOOKUP(I1253,C1260:O1319,5)</f>
        <v>512168.63240449666</v>
      </c>
      <c r="O1247" s="542"/>
    </row>
    <row r="1248" spans="1:16" ht="15.75">
      <c r="C1248" s="596"/>
      <c r="D1248" s="563"/>
      <c r="E1248" s="542"/>
      <c r="F1248" s="542"/>
      <c r="G1248" s="542"/>
      <c r="H1248" s="1245"/>
      <c r="I1248" s="1245"/>
      <c r="J1248" s="1246"/>
      <c r="K1248" s="683" t="s">
        <v>297</v>
      </c>
      <c r="L1248" s="1247"/>
      <c r="M1248" s="588"/>
      <c r="N1248" s="1248">
        <f>VLOOKUP(I1253,C1260:O1319,6)</f>
        <v>512168.63240449666</v>
      </c>
      <c r="O1248" s="542"/>
    </row>
    <row r="1249" spans="1:15" ht="13.5" thickBot="1">
      <c r="C1249" s="684" t="s">
        <v>293</v>
      </c>
      <c r="D1249" s="1284" t="s">
        <v>947</v>
      </c>
      <c r="E1249" s="1281"/>
      <c r="F1249" s="1281"/>
      <c r="G1249" s="1281"/>
      <c r="H1249" s="872"/>
      <c r="I1249" s="872"/>
      <c r="J1249" s="1242"/>
      <c r="K1249" s="1249" t="s">
        <v>450</v>
      </c>
      <c r="L1249" s="1250"/>
      <c r="M1249" s="1250"/>
      <c r="N1249" s="1251">
        <f>+N1248-N1247</f>
        <v>0</v>
      </c>
      <c r="O1249" s="542"/>
    </row>
    <row r="1250" spans="1:15">
      <c r="C1250" s="686"/>
      <c r="D1250" s="687"/>
      <c r="E1250" s="671"/>
      <c r="F1250" s="671"/>
      <c r="G1250" s="688"/>
      <c r="H1250" s="1241"/>
      <c r="I1250" s="1241"/>
      <c r="J1250" s="1242"/>
      <c r="K1250" s="1241"/>
      <c r="L1250" s="1241"/>
      <c r="M1250" s="1241"/>
      <c r="N1250" s="1241"/>
      <c r="O1250" s="542"/>
    </row>
    <row r="1251" spans="1:15" ht="13.5" thickBot="1">
      <c r="C1251" s="689"/>
      <c r="D1251" s="1252"/>
      <c r="E1251" s="688"/>
      <c r="F1251" s="688"/>
      <c r="G1251" s="688"/>
      <c r="H1251" s="688"/>
      <c r="I1251" s="688"/>
      <c r="J1251" s="691"/>
      <c r="K1251" s="688"/>
      <c r="L1251" s="688"/>
      <c r="M1251" s="688"/>
      <c r="N1251" s="688"/>
      <c r="O1251" s="576"/>
    </row>
    <row r="1252" spans="1:15" ht="13.5" thickBot="1">
      <c r="C1252" s="692" t="s">
        <v>294</v>
      </c>
      <c r="D1252" s="693"/>
      <c r="E1252" s="693"/>
      <c r="F1252" s="693"/>
      <c r="G1252" s="693"/>
      <c r="H1252" s="693"/>
      <c r="I1252" s="694"/>
      <c r="J1252" s="695"/>
      <c r="K1252" s="542"/>
      <c r="L1252" s="542"/>
      <c r="M1252" s="542"/>
      <c r="N1252" s="542"/>
      <c r="O1252" s="696"/>
    </row>
    <row r="1253" spans="1:15" ht="15">
      <c r="C1253" s="697" t="s">
        <v>272</v>
      </c>
      <c r="D1253" s="1253">
        <v>3059126</v>
      </c>
      <c r="E1253" s="655" t="s">
        <v>273</v>
      </c>
      <c r="G1253" s="698"/>
      <c r="H1253" s="698"/>
      <c r="I1253" s="699">
        <v>2018</v>
      </c>
      <c r="J1253" s="586"/>
      <c r="K1253" s="1702" t="s">
        <v>459</v>
      </c>
      <c r="L1253" s="1702"/>
      <c r="M1253" s="1702"/>
      <c r="N1253" s="1702"/>
      <c r="O1253" s="1702"/>
    </row>
    <row r="1254" spans="1:15">
      <c r="C1254" s="697" t="s">
        <v>275</v>
      </c>
      <c r="D1254" s="865">
        <v>2015</v>
      </c>
      <c r="E1254" s="697" t="s">
        <v>276</v>
      </c>
      <c r="F1254" s="698"/>
      <c r="H1254" s="330"/>
      <c r="I1254" s="1254">
        <f>IF(G1247="",0,$F$15)</f>
        <v>0</v>
      </c>
      <c r="J1254" s="700"/>
      <c r="K1254" s="1242" t="s">
        <v>459</v>
      </c>
    </row>
    <row r="1255" spans="1:15">
      <c r="C1255" s="697" t="s">
        <v>277</v>
      </c>
      <c r="D1255" s="1253">
        <v>12</v>
      </c>
      <c r="E1255" s="697" t="s">
        <v>278</v>
      </c>
      <c r="F1255" s="698"/>
      <c r="H1255" s="330"/>
      <c r="I1255" s="701">
        <f>$G$70</f>
        <v>0.15341253840442806</v>
      </c>
      <c r="J1255" s="702"/>
      <c r="K1255" s="330" t="str">
        <f>"          INPUT PROJECTED ARR (WITH &amp; WITHOUT INCENTIVES) FROM EACH PRIOR YEAR"</f>
        <v xml:space="preserve">          INPUT PROJECTED ARR (WITH &amp; WITHOUT INCENTIVES) FROM EACH PRIOR YEAR</v>
      </c>
    </row>
    <row r="1256" spans="1:15">
      <c r="C1256" s="697" t="s">
        <v>279</v>
      </c>
      <c r="D1256" s="703">
        <f>G$79</f>
        <v>44</v>
      </c>
      <c r="E1256" s="697" t="s">
        <v>280</v>
      </c>
      <c r="F1256" s="698"/>
      <c r="H1256" s="330"/>
      <c r="I1256" s="701">
        <f>IF(G1247="",I1255,$G$67)</f>
        <v>0.15341253840442806</v>
      </c>
      <c r="J1256" s="704"/>
      <c r="K1256" s="330" t="s">
        <v>357</v>
      </c>
    </row>
    <row r="1257" spans="1:15" ht="13.5" thickBot="1">
      <c r="C1257" s="697" t="s">
        <v>281</v>
      </c>
      <c r="D1257" s="866" t="s">
        <v>933</v>
      </c>
      <c r="E1257" s="705" t="s">
        <v>282</v>
      </c>
      <c r="F1257" s="706"/>
      <c r="G1257" s="707"/>
      <c r="H1257" s="707"/>
      <c r="I1257" s="1251">
        <f>IF(D1253=0,0,D1253/D1256)</f>
        <v>69525.590909090912</v>
      </c>
      <c r="J1257" s="1242"/>
      <c r="K1257" s="1242" t="s">
        <v>363</v>
      </c>
      <c r="L1257" s="1242"/>
      <c r="M1257" s="1242"/>
      <c r="N1257" s="1242"/>
      <c r="O1257" s="588"/>
    </row>
    <row r="1258" spans="1:15" ht="51">
      <c r="A1258" s="529"/>
      <c r="B1258" s="1255"/>
      <c r="C1258" s="708" t="s">
        <v>272</v>
      </c>
      <c r="D1258" s="1256" t="s">
        <v>283</v>
      </c>
      <c r="E1258" s="1257" t="s">
        <v>284</v>
      </c>
      <c r="F1258" s="1256" t="s">
        <v>285</v>
      </c>
      <c r="G1258" s="1257" t="s">
        <v>356</v>
      </c>
      <c r="H1258" s="1258" t="s">
        <v>356</v>
      </c>
      <c r="I1258" s="708" t="s">
        <v>295</v>
      </c>
      <c r="J1258" s="712"/>
      <c r="K1258" s="1257" t="s">
        <v>365</v>
      </c>
      <c r="L1258" s="1259"/>
      <c r="M1258" s="1257" t="s">
        <v>365</v>
      </c>
      <c r="N1258" s="1259"/>
      <c r="O1258" s="1259"/>
    </row>
    <row r="1259" spans="1:15" ht="13.5" thickBot="1">
      <c r="C1259" s="714" t="s">
        <v>177</v>
      </c>
      <c r="D1259" s="715" t="s">
        <v>178</v>
      </c>
      <c r="E1259" s="714" t="s">
        <v>37</v>
      </c>
      <c r="F1259" s="715" t="s">
        <v>178</v>
      </c>
      <c r="G1259" s="1260" t="s">
        <v>298</v>
      </c>
      <c r="H1259" s="1261" t="s">
        <v>300</v>
      </c>
      <c r="I1259" s="718" t="s">
        <v>389</v>
      </c>
      <c r="J1259" s="719"/>
      <c r="K1259" s="1260" t="s">
        <v>287</v>
      </c>
      <c r="L1259" s="1262"/>
      <c r="M1259" s="1260" t="s">
        <v>300</v>
      </c>
      <c r="N1259" s="1262"/>
      <c r="O1259" s="1262"/>
    </row>
    <row r="1260" spans="1:15">
      <c r="C1260" s="720">
        <f>IF(D1254= "","-",D1254)</f>
        <v>2015</v>
      </c>
      <c r="D1260" s="673">
        <f>+D1253</f>
        <v>3059126</v>
      </c>
      <c r="E1260" s="1263">
        <f>+I1257/12*(12-D1255)</f>
        <v>0</v>
      </c>
      <c r="F1260" s="673">
        <f t="shared" ref="F1260:F1319" si="78">+D1260-E1260</f>
        <v>3059126</v>
      </c>
      <c r="G1260" s="1264">
        <f>+$I$1255*((D1260+F1260)/2)+E1260</f>
        <v>469308.28495898441</v>
      </c>
      <c r="H1260" s="1265">
        <f>$I$1256*((D1260+F1260)/2)+E1260</f>
        <v>469308.28495898441</v>
      </c>
      <c r="I1260" s="724">
        <f>+H1260-G1260</f>
        <v>0</v>
      </c>
      <c r="J1260" s="724"/>
      <c r="K1260" s="868">
        <v>559098</v>
      </c>
      <c r="L1260" s="725"/>
      <c r="M1260" s="868">
        <v>559098</v>
      </c>
      <c r="N1260" s="725"/>
      <c r="O1260" s="725"/>
    </row>
    <row r="1261" spans="1:15">
      <c r="C1261" s="720">
        <f>IF(D1254="","-",+C1260+1)</f>
        <v>2016</v>
      </c>
      <c r="D1261" s="673">
        <f t="shared" ref="D1261:D1319" si="79">F1260</f>
        <v>3059126</v>
      </c>
      <c r="E1261" s="726">
        <f>IF(D1261&gt;$I$1257,$I$1257,D1261)</f>
        <v>69525.590909090912</v>
      </c>
      <c r="F1261" s="673">
        <f t="shared" si="78"/>
        <v>2989600.4090909092</v>
      </c>
      <c r="G1261" s="1263">
        <f t="shared" ref="G1261:G1319" si="80">+$I$1255*((D1261+F1261)/2)+E1261</f>
        <v>533500.82717535959</v>
      </c>
      <c r="H1261" s="1266">
        <f t="shared" ref="H1261:H1319" si="81">$I$1256*((D1261+F1261)/2)+E1261</f>
        <v>533500.82717535959</v>
      </c>
      <c r="I1261" s="724">
        <f t="shared" ref="I1261:I1319" si="82">+H1261-G1261</f>
        <v>0</v>
      </c>
      <c r="J1261" s="724"/>
      <c r="K1261" s="869">
        <v>620362</v>
      </c>
      <c r="L1261" s="729"/>
      <c r="M1261" s="869">
        <v>620362</v>
      </c>
      <c r="N1261" s="729"/>
      <c r="O1261" s="729"/>
    </row>
    <row r="1262" spans="1:15">
      <c r="C1262" s="720">
        <f>IF(D1254="","-",+C1261+1)</f>
        <v>2017</v>
      </c>
      <c r="D1262" s="673">
        <f t="shared" si="79"/>
        <v>2989600.4090909092</v>
      </c>
      <c r="E1262" s="726">
        <f t="shared" ref="E1262:E1319" si="83">IF(D1262&gt;$I$1257,$I$1257,D1262)</f>
        <v>69525.590909090912</v>
      </c>
      <c r="F1262" s="673">
        <f t="shared" si="78"/>
        <v>2920074.8181818184</v>
      </c>
      <c r="G1262" s="1263">
        <f t="shared" si="80"/>
        <v>522834.72978992818</v>
      </c>
      <c r="H1262" s="1266">
        <f t="shared" si="81"/>
        <v>522834.72978992818</v>
      </c>
      <c r="I1262" s="724">
        <f t="shared" si="82"/>
        <v>0</v>
      </c>
      <c r="J1262" s="724"/>
      <c r="K1262" s="869">
        <v>646844</v>
      </c>
      <c r="L1262" s="729"/>
      <c r="M1262" s="869">
        <v>646844</v>
      </c>
      <c r="N1262" s="729"/>
      <c r="O1262" s="729"/>
    </row>
    <row r="1263" spans="1:15">
      <c r="C1263" s="1268">
        <f>IF(D1254="","-",+C1262+1)</f>
        <v>2018</v>
      </c>
      <c r="D1263" s="1269">
        <f t="shared" si="79"/>
        <v>2920074.8181818184</v>
      </c>
      <c r="E1263" s="1270">
        <f t="shared" si="83"/>
        <v>69525.590909090912</v>
      </c>
      <c r="F1263" s="1269">
        <f t="shared" si="78"/>
        <v>2850549.2272727275</v>
      </c>
      <c r="G1263" s="1271">
        <f t="shared" si="80"/>
        <v>512168.63240449666</v>
      </c>
      <c r="H1263" s="1272">
        <f t="shared" si="81"/>
        <v>512168.63240449666</v>
      </c>
      <c r="I1263" s="1273">
        <f t="shared" si="82"/>
        <v>0</v>
      </c>
      <c r="J1263" s="724"/>
      <c r="K1263" s="869"/>
      <c r="L1263" s="729"/>
      <c r="M1263" s="869"/>
      <c r="N1263" s="729"/>
      <c r="O1263" s="729"/>
    </row>
    <row r="1264" spans="1:15">
      <c r="C1264" s="720">
        <f>IF(D1254="","-",+C1263+1)</f>
        <v>2019</v>
      </c>
      <c r="D1264" s="673">
        <f t="shared" si="79"/>
        <v>2850549.2272727275</v>
      </c>
      <c r="E1264" s="726">
        <f t="shared" si="83"/>
        <v>69525.590909090912</v>
      </c>
      <c r="F1264" s="673">
        <f t="shared" si="78"/>
        <v>2781023.6363636367</v>
      </c>
      <c r="G1264" s="1263">
        <f t="shared" si="80"/>
        <v>501502.53501906525</v>
      </c>
      <c r="H1264" s="1266">
        <f t="shared" si="81"/>
        <v>501502.53501906525</v>
      </c>
      <c r="I1264" s="724">
        <f t="shared" si="82"/>
        <v>0</v>
      </c>
      <c r="J1264" s="724"/>
      <c r="K1264" s="869"/>
      <c r="L1264" s="729"/>
      <c r="M1264" s="869"/>
      <c r="N1264" s="729"/>
      <c r="O1264" s="729"/>
    </row>
    <row r="1265" spans="3:15">
      <c r="C1265" s="720">
        <f>IF(D1254="","-",+C1264+1)</f>
        <v>2020</v>
      </c>
      <c r="D1265" s="673">
        <f t="shared" si="79"/>
        <v>2781023.6363636367</v>
      </c>
      <c r="E1265" s="726">
        <f t="shared" si="83"/>
        <v>69525.590909090912</v>
      </c>
      <c r="F1265" s="673">
        <f t="shared" si="78"/>
        <v>2711498.0454545459</v>
      </c>
      <c r="G1265" s="1263">
        <f t="shared" si="80"/>
        <v>490836.43763363373</v>
      </c>
      <c r="H1265" s="1266">
        <f t="shared" si="81"/>
        <v>490836.43763363373</v>
      </c>
      <c r="I1265" s="724">
        <f t="shared" si="82"/>
        <v>0</v>
      </c>
      <c r="J1265" s="724"/>
      <c r="K1265" s="869"/>
      <c r="L1265" s="729"/>
      <c r="M1265" s="869"/>
      <c r="N1265" s="729"/>
      <c r="O1265" s="729"/>
    </row>
    <row r="1266" spans="3:15">
      <c r="C1266" s="720">
        <f>IF(D1254="","-",+C1265+1)</f>
        <v>2021</v>
      </c>
      <c r="D1266" s="673">
        <f t="shared" si="79"/>
        <v>2711498.0454545459</v>
      </c>
      <c r="E1266" s="726">
        <f t="shared" si="83"/>
        <v>69525.590909090912</v>
      </c>
      <c r="F1266" s="673">
        <f t="shared" si="78"/>
        <v>2641972.4545454551</v>
      </c>
      <c r="G1266" s="1263">
        <f t="shared" si="80"/>
        <v>480170.34024820232</v>
      </c>
      <c r="H1266" s="1266">
        <f t="shared" si="81"/>
        <v>480170.34024820232</v>
      </c>
      <c r="I1266" s="724">
        <f t="shared" si="82"/>
        <v>0</v>
      </c>
      <c r="J1266" s="724"/>
      <c r="K1266" s="869"/>
      <c r="L1266" s="729"/>
      <c r="M1266" s="869"/>
      <c r="N1266" s="729"/>
      <c r="O1266" s="729"/>
    </row>
    <row r="1267" spans="3:15">
      <c r="C1267" s="720">
        <f>IF(D1254="","-",+C1266+1)</f>
        <v>2022</v>
      </c>
      <c r="D1267" s="673">
        <f t="shared" si="79"/>
        <v>2641972.4545454551</v>
      </c>
      <c r="E1267" s="726">
        <f t="shared" si="83"/>
        <v>69525.590909090912</v>
      </c>
      <c r="F1267" s="673">
        <f t="shared" si="78"/>
        <v>2572446.8636363642</v>
      </c>
      <c r="G1267" s="1263">
        <f t="shared" si="80"/>
        <v>469504.24286277092</v>
      </c>
      <c r="H1267" s="1266">
        <f t="shared" si="81"/>
        <v>469504.24286277092</v>
      </c>
      <c r="I1267" s="724">
        <f t="shared" si="82"/>
        <v>0</v>
      </c>
      <c r="J1267" s="724"/>
      <c r="K1267" s="869"/>
      <c r="L1267" s="729"/>
      <c r="M1267" s="869"/>
      <c r="N1267" s="729"/>
      <c r="O1267" s="729"/>
    </row>
    <row r="1268" spans="3:15">
      <c r="C1268" s="720">
        <f>IF(D1254="","-",+C1267+1)</f>
        <v>2023</v>
      </c>
      <c r="D1268" s="673">
        <f t="shared" si="79"/>
        <v>2572446.8636363642</v>
      </c>
      <c r="E1268" s="726">
        <f t="shared" si="83"/>
        <v>69525.590909090912</v>
      </c>
      <c r="F1268" s="673">
        <f t="shared" si="78"/>
        <v>2502921.2727272734</v>
      </c>
      <c r="G1268" s="1263">
        <f t="shared" si="80"/>
        <v>458838.14547733939</v>
      </c>
      <c r="H1268" s="1266">
        <f t="shared" si="81"/>
        <v>458838.14547733939</v>
      </c>
      <c r="I1268" s="724">
        <f t="shared" si="82"/>
        <v>0</v>
      </c>
      <c r="J1268" s="724"/>
      <c r="K1268" s="869"/>
      <c r="L1268" s="729"/>
      <c r="M1268" s="869"/>
      <c r="N1268" s="729"/>
      <c r="O1268" s="729"/>
    </row>
    <row r="1269" spans="3:15">
      <c r="C1269" s="720">
        <f>IF(D1254="","-",+C1268+1)</f>
        <v>2024</v>
      </c>
      <c r="D1269" s="673">
        <f t="shared" si="79"/>
        <v>2502921.2727272734</v>
      </c>
      <c r="E1269" s="726">
        <f t="shared" si="83"/>
        <v>69525.590909090912</v>
      </c>
      <c r="F1269" s="673">
        <f t="shared" si="78"/>
        <v>2433395.6818181826</v>
      </c>
      <c r="G1269" s="1263">
        <f t="shared" si="80"/>
        <v>448172.04809190799</v>
      </c>
      <c r="H1269" s="1266">
        <f t="shared" si="81"/>
        <v>448172.04809190799</v>
      </c>
      <c r="I1269" s="724">
        <f t="shared" si="82"/>
        <v>0</v>
      </c>
      <c r="J1269" s="724"/>
      <c r="K1269" s="869"/>
      <c r="L1269" s="729"/>
      <c r="M1269" s="869"/>
      <c r="N1269" s="729"/>
      <c r="O1269" s="729"/>
    </row>
    <row r="1270" spans="3:15">
      <c r="C1270" s="720">
        <f>IF(D1254="","-",+C1269+1)</f>
        <v>2025</v>
      </c>
      <c r="D1270" s="673">
        <f t="shared" si="79"/>
        <v>2433395.6818181826</v>
      </c>
      <c r="E1270" s="726">
        <f t="shared" si="83"/>
        <v>69525.590909090912</v>
      </c>
      <c r="F1270" s="673">
        <f t="shared" si="78"/>
        <v>2363870.0909090918</v>
      </c>
      <c r="G1270" s="1263">
        <f t="shared" si="80"/>
        <v>437505.95070647658</v>
      </c>
      <c r="H1270" s="1266">
        <f t="shared" si="81"/>
        <v>437505.95070647658</v>
      </c>
      <c r="I1270" s="724">
        <f t="shared" si="82"/>
        <v>0</v>
      </c>
      <c r="J1270" s="724"/>
      <c r="K1270" s="869"/>
      <c r="L1270" s="729"/>
      <c r="M1270" s="869"/>
      <c r="N1270" s="729"/>
      <c r="O1270" s="729"/>
    </row>
    <row r="1271" spans="3:15">
      <c r="C1271" s="720">
        <f>IF(D1254="","-",+C1270+1)</f>
        <v>2026</v>
      </c>
      <c r="D1271" s="673">
        <f t="shared" si="79"/>
        <v>2363870.0909090918</v>
      </c>
      <c r="E1271" s="726">
        <f t="shared" si="83"/>
        <v>69525.590909090912</v>
      </c>
      <c r="F1271" s="673">
        <f t="shared" si="78"/>
        <v>2294344.5000000009</v>
      </c>
      <c r="G1271" s="1263">
        <f t="shared" si="80"/>
        <v>426839.85332104506</v>
      </c>
      <c r="H1271" s="1266">
        <f t="shared" si="81"/>
        <v>426839.85332104506</v>
      </c>
      <c r="I1271" s="724">
        <f t="shared" si="82"/>
        <v>0</v>
      </c>
      <c r="J1271" s="724"/>
      <c r="K1271" s="869"/>
      <c r="L1271" s="729"/>
      <c r="M1271" s="869"/>
      <c r="N1271" s="729"/>
      <c r="O1271" s="729"/>
    </row>
    <row r="1272" spans="3:15">
      <c r="C1272" s="720">
        <f>IF(D1254="","-",+C1271+1)</f>
        <v>2027</v>
      </c>
      <c r="D1272" s="673">
        <f t="shared" si="79"/>
        <v>2294344.5000000009</v>
      </c>
      <c r="E1272" s="726">
        <f t="shared" si="83"/>
        <v>69525.590909090912</v>
      </c>
      <c r="F1272" s="673">
        <f t="shared" si="78"/>
        <v>2224818.9090909101</v>
      </c>
      <c r="G1272" s="1263">
        <f t="shared" si="80"/>
        <v>416173.75593561365</v>
      </c>
      <c r="H1272" s="1266">
        <f t="shared" si="81"/>
        <v>416173.75593561365</v>
      </c>
      <c r="I1272" s="724">
        <f t="shared" si="82"/>
        <v>0</v>
      </c>
      <c r="J1272" s="724"/>
      <c r="K1272" s="869"/>
      <c r="L1272" s="729"/>
      <c r="M1272" s="869"/>
      <c r="N1272" s="729"/>
      <c r="O1272" s="729"/>
    </row>
    <row r="1273" spans="3:15">
      <c r="C1273" s="720">
        <f>IF(D1254="","-",+C1272+1)</f>
        <v>2028</v>
      </c>
      <c r="D1273" s="673">
        <f t="shared" si="79"/>
        <v>2224818.9090909101</v>
      </c>
      <c r="E1273" s="726">
        <f t="shared" si="83"/>
        <v>69525.590909090912</v>
      </c>
      <c r="F1273" s="673">
        <f t="shared" si="78"/>
        <v>2155293.3181818193</v>
      </c>
      <c r="G1273" s="1263">
        <f t="shared" si="80"/>
        <v>405507.65855018212</v>
      </c>
      <c r="H1273" s="1266">
        <f t="shared" si="81"/>
        <v>405507.65855018212</v>
      </c>
      <c r="I1273" s="724">
        <f t="shared" si="82"/>
        <v>0</v>
      </c>
      <c r="J1273" s="724"/>
      <c r="K1273" s="869"/>
      <c r="L1273" s="729"/>
      <c r="M1273" s="869"/>
      <c r="N1273" s="729"/>
      <c r="O1273" s="729"/>
    </row>
    <row r="1274" spans="3:15">
      <c r="C1274" s="720">
        <f>IF(D1254="","-",+C1273+1)</f>
        <v>2029</v>
      </c>
      <c r="D1274" s="673">
        <f t="shared" si="79"/>
        <v>2155293.3181818193</v>
      </c>
      <c r="E1274" s="726">
        <f t="shared" si="83"/>
        <v>69525.590909090912</v>
      </c>
      <c r="F1274" s="673">
        <f t="shared" si="78"/>
        <v>2085767.7272727285</v>
      </c>
      <c r="G1274" s="1263">
        <f t="shared" si="80"/>
        <v>394841.56116475072</v>
      </c>
      <c r="H1274" s="1266">
        <f t="shared" si="81"/>
        <v>394841.56116475072</v>
      </c>
      <c r="I1274" s="724">
        <f t="shared" si="82"/>
        <v>0</v>
      </c>
      <c r="J1274" s="724"/>
      <c r="K1274" s="869"/>
      <c r="L1274" s="729"/>
      <c r="M1274" s="869"/>
      <c r="N1274" s="729"/>
      <c r="O1274" s="729"/>
    </row>
    <row r="1275" spans="3:15">
      <c r="C1275" s="720">
        <f>IF(D1254="","-",+C1274+1)</f>
        <v>2030</v>
      </c>
      <c r="D1275" s="673">
        <f t="shared" si="79"/>
        <v>2085767.7272727285</v>
      </c>
      <c r="E1275" s="726">
        <f t="shared" si="83"/>
        <v>69525.590909090912</v>
      </c>
      <c r="F1275" s="673">
        <f t="shared" si="78"/>
        <v>2016242.1363636376</v>
      </c>
      <c r="G1275" s="1263">
        <f t="shared" si="80"/>
        <v>384175.46377931931</v>
      </c>
      <c r="H1275" s="1266">
        <f t="shared" si="81"/>
        <v>384175.46377931931</v>
      </c>
      <c r="I1275" s="724">
        <f t="shared" si="82"/>
        <v>0</v>
      </c>
      <c r="J1275" s="724"/>
      <c r="K1275" s="869"/>
      <c r="L1275" s="729"/>
      <c r="M1275" s="869"/>
      <c r="N1275" s="729"/>
      <c r="O1275" s="729"/>
    </row>
    <row r="1276" spans="3:15">
      <c r="C1276" s="720">
        <f>IF(D1254="","-",+C1275+1)</f>
        <v>2031</v>
      </c>
      <c r="D1276" s="673">
        <f t="shared" si="79"/>
        <v>2016242.1363636376</v>
      </c>
      <c r="E1276" s="726">
        <f t="shared" si="83"/>
        <v>69525.590909090912</v>
      </c>
      <c r="F1276" s="673">
        <f t="shared" si="78"/>
        <v>1946716.5454545468</v>
      </c>
      <c r="G1276" s="1263">
        <f t="shared" si="80"/>
        <v>373509.36639388779</v>
      </c>
      <c r="H1276" s="1266">
        <f t="shared" si="81"/>
        <v>373509.36639388779</v>
      </c>
      <c r="I1276" s="724">
        <f t="shared" si="82"/>
        <v>0</v>
      </c>
      <c r="J1276" s="724"/>
      <c r="K1276" s="869"/>
      <c r="L1276" s="729"/>
      <c r="M1276" s="869"/>
      <c r="N1276" s="729"/>
      <c r="O1276" s="729"/>
    </row>
    <row r="1277" spans="3:15">
      <c r="C1277" s="720">
        <f>IF(D1254="","-",+C1276+1)</f>
        <v>2032</v>
      </c>
      <c r="D1277" s="673">
        <f t="shared" si="79"/>
        <v>1946716.5454545468</v>
      </c>
      <c r="E1277" s="726">
        <f t="shared" si="83"/>
        <v>69525.590909090912</v>
      </c>
      <c r="F1277" s="673">
        <f t="shared" si="78"/>
        <v>1877190.954545456</v>
      </c>
      <c r="G1277" s="1263">
        <f t="shared" si="80"/>
        <v>362843.26900845638</v>
      </c>
      <c r="H1277" s="1266">
        <f t="shared" si="81"/>
        <v>362843.26900845638</v>
      </c>
      <c r="I1277" s="724">
        <f t="shared" si="82"/>
        <v>0</v>
      </c>
      <c r="J1277" s="724"/>
      <c r="K1277" s="869"/>
      <c r="L1277" s="729"/>
      <c r="M1277" s="869"/>
      <c r="N1277" s="729"/>
      <c r="O1277" s="729"/>
    </row>
    <row r="1278" spans="3:15">
      <c r="C1278" s="720">
        <f>IF(D1254="","-",+C1277+1)</f>
        <v>2033</v>
      </c>
      <c r="D1278" s="673">
        <f t="shared" si="79"/>
        <v>1877190.954545456</v>
      </c>
      <c r="E1278" s="726">
        <f t="shared" si="83"/>
        <v>69525.590909090912</v>
      </c>
      <c r="F1278" s="673">
        <f t="shared" si="78"/>
        <v>1807665.3636363652</v>
      </c>
      <c r="G1278" s="1263">
        <f t="shared" si="80"/>
        <v>352177.17162302497</v>
      </c>
      <c r="H1278" s="1266">
        <f t="shared" si="81"/>
        <v>352177.17162302497</v>
      </c>
      <c r="I1278" s="724">
        <f t="shared" si="82"/>
        <v>0</v>
      </c>
      <c r="J1278" s="724"/>
      <c r="K1278" s="869"/>
      <c r="L1278" s="729"/>
      <c r="M1278" s="869"/>
      <c r="N1278" s="729"/>
      <c r="O1278" s="729"/>
    </row>
    <row r="1279" spans="3:15">
      <c r="C1279" s="720">
        <f>IF(D1254="","-",+C1278+1)</f>
        <v>2034</v>
      </c>
      <c r="D1279" s="673">
        <f t="shared" si="79"/>
        <v>1807665.3636363652</v>
      </c>
      <c r="E1279" s="726">
        <f t="shared" si="83"/>
        <v>69525.590909090912</v>
      </c>
      <c r="F1279" s="673">
        <f t="shared" si="78"/>
        <v>1738139.7727272743</v>
      </c>
      <c r="G1279" s="1263">
        <f t="shared" si="80"/>
        <v>341511.07423759345</v>
      </c>
      <c r="H1279" s="1266">
        <f t="shared" si="81"/>
        <v>341511.07423759345</v>
      </c>
      <c r="I1279" s="724">
        <f t="shared" si="82"/>
        <v>0</v>
      </c>
      <c r="J1279" s="724"/>
      <c r="K1279" s="869"/>
      <c r="L1279" s="729"/>
      <c r="M1279" s="869"/>
      <c r="N1279" s="729"/>
      <c r="O1279" s="729"/>
    </row>
    <row r="1280" spans="3:15">
      <c r="C1280" s="720">
        <f>IF(D1254="","-",+C1279+1)</f>
        <v>2035</v>
      </c>
      <c r="D1280" s="673">
        <f t="shared" si="79"/>
        <v>1738139.7727272743</v>
      </c>
      <c r="E1280" s="726">
        <f t="shared" si="83"/>
        <v>69525.590909090912</v>
      </c>
      <c r="F1280" s="673">
        <f t="shared" si="78"/>
        <v>1668614.1818181835</v>
      </c>
      <c r="G1280" s="1263">
        <f t="shared" si="80"/>
        <v>330844.97685216204</v>
      </c>
      <c r="H1280" s="1266">
        <f t="shared" si="81"/>
        <v>330844.97685216204</v>
      </c>
      <c r="I1280" s="724">
        <f t="shared" si="82"/>
        <v>0</v>
      </c>
      <c r="J1280" s="724"/>
      <c r="K1280" s="869"/>
      <c r="L1280" s="729"/>
      <c r="M1280" s="869"/>
      <c r="N1280" s="729"/>
      <c r="O1280" s="729"/>
    </row>
    <row r="1281" spans="3:15">
      <c r="C1281" s="720">
        <f>IF(D1254="","-",+C1280+1)</f>
        <v>2036</v>
      </c>
      <c r="D1281" s="673">
        <f t="shared" si="79"/>
        <v>1668614.1818181835</v>
      </c>
      <c r="E1281" s="726">
        <f t="shared" si="83"/>
        <v>69525.590909090912</v>
      </c>
      <c r="F1281" s="673">
        <f t="shared" si="78"/>
        <v>1599088.5909090927</v>
      </c>
      <c r="G1281" s="1263">
        <f t="shared" si="80"/>
        <v>320178.87946673058</v>
      </c>
      <c r="H1281" s="1266">
        <f t="shared" si="81"/>
        <v>320178.87946673058</v>
      </c>
      <c r="I1281" s="724">
        <f t="shared" si="82"/>
        <v>0</v>
      </c>
      <c r="J1281" s="724"/>
      <c r="K1281" s="869"/>
      <c r="L1281" s="729"/>
      <c r="M1281" s="869"/>
      <c r="N1281" s="729"/>
      <c r="O1281" s="729"/>
    </row>
    <row r="1282" spans="3:15">
      <c r="C1282" s="720">
        <f>IF(D1254="","-",+C1281+1)</f>
        <v>2037</v>
      </c>
      <c r="D1282" s="673">
        <f t="shared" si="79"/>
        <v>1599088.5909090927</v>
      </c>
      <c r="E1282" s="726">
        <f t="shared" si="83"/>
        <v>69525.590909090912</v>
      </c>
      <c r="F1282" s="673">
        <f t="shared" si="78"/>
        <v>1529563.0000000019</v>
      </c>
      <c r="G1282" s="1263">
        <f t="shared" si="80"/>
        <v>309512.78208129911</v>
      </c>
      <c r="H1282" s="1266">
        <f t="shared" si="81"/>
        <v>309512.78208129911</v>
      </c>
      <c r="I1282" s="724">
        <f t="shared" si="82"/>
        <v>0</v>
      </c>
      <c r="J1282" s="724"/>
      <c r="K1282" s="869"/>
      <c r="L1282" s="729"/>
      <c r="M1282" s="869"/>
      <c r="N1282" s="729"/>
      <c r="O1282" s="729"/>
    </row>
    <row r="1283" spans="3:15">
      <c r="C1283" s="720">
        <f>IF(D1254="","-",+C1282+1)</f>
        <v>2038</v>
      </c>
      <c r="D1283" s="673">
        <f t="shared" si="79"/>
        <v>1529563.0000000019</v>
      </c>
      <c r="E1283" s="726">
        <f t="shared" si="83"/>
        <v>69525.590909090912</v>
      </c>
      <c r="F1283" s="673">
        <f t="shared" si="78"/>
        <v>1460037.409090911</v>
      </c>
      <c r="G1283" s="1263">
        <f t="shared" si="80"/>
        <v>298846.68469586771</v>
      </c>
      <c r="H1283" s="1266">
        <f t="shared" si="81"/>
        <v>298846.68469586771</v>
      </c>
      <c r="I1283" s="724">
        <f t="shared" si="82"/>
        <v>0</v>
      </c>
      <c r="J1283" s="724"/>
      <c r="K1283" s="869"/>
      <c r="L1283" s="729"/>
      <c r="M1283" s="869"/>
      <c r="N1283" s="729"/>
      <c r="O1283" s="729"/>
    </row>
    <row r="1284" spans="3:15">
      <c r="C1284" s="720">
        <f>IF(D1254="","-",+C1283+1)</f>
        <v>2039</v>
      </c>
      <c r="D1284" s="673">
        <f t="shared" si="79"/>
        <v>1460037.409090911</v>
      </c>
      <c r="E1284" s="726">
        <f t="shared" si="83"/>
        <v>69525.590909090912</v>
      </c>
      <c r="F1284" s="673">
        <f t="shared" si="78"/>
        <v>1390511.8181818202</v>
      </c>
      <c r="G1284" s="1263">
        <f t="shared" si="80"/>
        <v>288180.58731043618</v>
      </c>
      <c r="H1284" s="1266">
        <f t="shared" si="81"/>
        <v>288180.58731043618</v>
      </c>
      <c r="I1284" s="724">
        <f t="shared" si="82"/>
        <v>0</v>
      </c>
      <c r="J1284" s="724"/>
      <c r="K1284" s="869"/>
      <c r="L1284" s="729"/>
      <c r="M1284" s="869"/>
      <c r="N1284" s="729"/>
      <c r="O1284" s="729"/>
    </row>
    <row r="1285" spans="3:15">
      <c r="C1285" s="720">
        <f>IF(D1254="","-",+C1284+1)</f>
        <v>2040</v>
      </c>
      <c r="D1285" s="673">
        <f t="shared" si="79"/>
        <v>1390511.8181818202</v>
      </c>
      <c r="E1285" s="726">
        <f t="shared" si="83"/>
        <v>69525.590909090912</v>
      </c>
      <c r="F1285" s="673">
        <f t="shared" si="78"/>
        <v>1320986.2272727294</v>
      </c>
      <c r="G1285" s="1263">
        <f t="shared" si="80"/>
        <v>277514.48992500477</v>
      </c>
      <c r="H1285" s="1266">
        <f t="shared" si="81"/>
        <v>277514.48992500477</v>
      </c>
      <c r="I1285" s="724">
        <f t="shared" si="82"/>
        <v>0</v>
      </c>
      <c r="J1285" s="724"/>
      <c r="K1285" s="869"/>
      <c r="L1285" s="729"/>
      <c r="M1285" s="869"/>
      <c r="N1285" s="729"/>
      <c r="O1285" s="729"/>
    </row>
    <row r="1286" spans="3:15">
      <c r="C1286" s="720">
        <f>IF(D1254="","-",+C1285+1)</f>
        <v>2041</v>
      </c>
      <c r="D1286" s="673">
        <f t="shared" si="79"/>
        <v>1320986.2272727294</v>
      </c>
      <c r="E1286" s="726">
        <f t="shared" si="83"/>
        <v>69525.590909090912</v>
      </c>
      <c r="F1286" s="673">
        <f t="shared" si="78"/>
        <v>1251460.6363636386</v>
      </c>
      <c r="G1286" s="1263">
        <f t="shared" si="80"/>
        <v>266848.39253957331</v>
      </c>
      <c r="H1286" s="1266">
        <f t="shared" si="81"/>
        <v>266848.39253957331</v>
      </c>
      <c r="I1286" s="724">
        <f t="shared" si="82"/>
        <v>0</v>
      </c>
      <c r="J1286" s="724"/>
      <c r="K1286" s="869"/>
      <c r="L1286" s="729"/>
      <c r="M1286" s="869"/>
      <c r="N1286" s="729"/>
      <c r="O1286" s="729"/>
    </row>
    <row r="1287" spans="3:15">
      <c r="C1287" s="720">
        <f>IF(D1254="","-",+C1286+1)</f>
        <v>2042</v>
      </c>
      <c r="D1287" s="673">
        <f t="shared" si="79"/>
        <v>1251460.6363636386</v>
      </c>
      <c r="E1287" s="726">
        <f t="shared" si="83"/>
        <v>69525.590909090912</v>
      </c>
      <c r="F1287" s="673">
        <f t="shared" si="78"/>
        <v>1181935.0454545477</v>
      </c>
      <c r="G1287" s="1263">
        <f t="shared" si="80"/>
        <v>256182.29515414187</v>
      </c>
      <c r="H1287" s="1266">
        <f t="shared" si="81"/>
        <v>256182.29515414187</v>
      </c>
      <c r="I1287" s="724">
        <f t="shared" si="82"/>
        <v>0</v>
      </c>
      <c r="J1287" s="724"/>
      <c r="K1287" s="869"/>
      <c r="L1287" s="729"/>
      <c r="M1287" s="869"/>
      <c r="N1287" s="729"/>
      <c r="O1287" s="729"/>
    </row>
    <row r="1288" spans="3:15">
      <c r="C1288" s="720">
        <f>IF(D1254="","-",+C1287+1)</f>
        <v>2043</v>
      </c>
      <c r="D1288" s="673">
        <f t="shared" si="79"/>
        <v>1181935.0454545477</v>
      </c>
      <c r="E1288" s="726">
        <f t="shared" si="83"/>
        <v>69525.590909090912</v>
      </c>
      <c r="F1288" s="673">
        <f t="shared" si="78"/>
        <v>1112409.4545454569</v>
      </c>
      <c r="G1288" s="1264">
        <f t="shared" si="80"/>
        <v>245516.19776871041</v>
      </c>
      <c r="H1288" s="1266">
        <f t="shared" si="81"/>
        <v>245516.19776871041</v>
      </c>
      <c r="I1288" s="724">
        <f t="shared" si="82"/>
        <v>0</v>
      </c>
      <c r="J1288" s="724"/>
      <c r="K1288" s="869"/>
      <c r="L1288" s="729"/>
      <c r="M1288" s="869"/>
      <c r="N1288" s="729"/>
      <c r="O1288" s="729"/>
    </row>
    <row r="1289" spans="3:15">
      <c r="C1289" s="720">
        <f>IF(D1254="","-",+C1288+1)</f>
        <v>2044</v>
      </c>
      <c r="D1289" s="673">
        <f t="shared" si="79"/>
        <v>1112409.4545454569</v>
      </c>
      <c r="E1289" s="726">
        <f t="shared" si="83"/>
        <v>69525.590909090912</v>
      </c>
      <c r="F1289" s="673">
        <f t="shared" si="78"/>
        <v>1042883.863636366</v>
      </c>
      <c r="G1289" s="1263">
        <f t="shared" si="80"/>
        <v>234850.10038327897</v>
      </c>
      <c r="H1289" s="1266">
        <f t="shared" si="81"/>
        <v>234850.10038327897</v>
      </c>
      <c r="I1289" s="724">
        <f t="shared" si="82"/>
        <v>0</v>
      </c>
      <c r="J1289" s="724"/>
      <c r="K1289" s="869"/>
      <c r="L1289" s="729"/>
      <c r="M1289" s="869"/>
      <c r="N1289" s="729"/>
      <c r="O1289" s="729"/>
    </row>
    <row r="1290" spans="3:15">
      <c r="C1290" s="720">
        <f>IF(D1254="","-",+C1289+1)</f>
        <v>2045</v>
      </c>
      <c r="D1290" s="673">
        <f t="shared" si="79"/>
        <v>1042883.863636366</v>
      </c>
      <c r="E1290" s="726">
        <f t="shared" si="83"/>
        <v>69525.590909090912</v>
      </c>
      <c r="F1290" s="673">
        <f t="shared" si="78"/>
        <v>973358.27272727503</v>
      </c>
      <c r="G1290" s="1263">
        <f t="shared" si="80"/>
        <v>224184.00299784748</v>
      </c>
      <c r="H1290" s="1266">
        <f t="shared" si="81"/>
        <v>224184.00299784748</v>
      </c>
      <c r="I1290" s="724">
        <f t="shared" si="82"/>
        <v>0</v>
      </c>
      <c r="J1290" s="724"/>
      <c r="K1290" s="869"/>
      <c r="L1290" s="729"/>
      <c r="M1290" s="869"/>
      <c r="N1290" s="729"/>
      <c r="O1290" s="729"/>
    </row>
    <row r="1291" spans="3:15">
      <c r="C1291" s="720">
        <f>IF(D1254="","-",+C1290+1)</f>
        <v>2046</v>
      </c>
      <c r="D1291" s="673">
        <f t="shared" si="79"/>
        <v>973358.27272727503</v>
      </c>
      <c r="E1291" s="726">
        <f t="shared" si="83"/>
        <v>69525.590909090912</v>
      </c>
      <c r="F1291" s="673">
        <f t="shared" si="78"/>
        <v>903832.68181818409</v>
      </c>
      <c r="G1291" s="1263">
        <f t="shared" si="80"/>
        <v>213517.90561241604</v>
      </c>
      <c r="H1291" s="1266">
        <f t="shared" si="81"/>
        <v>213517.90561241604</v>
      </c>
      <c r="I1291" s="724">
        <f t="shared" si="82"/>
        <v>0</v>
      </c>
      <c r="J1291" s="724"/>
      <c r="K1291" s="869"/>
      <c r="L1291" s="729"/>
      <c r="M1291" s="869"/>
      <c r="N1291" s="729"/>
      <c r="O1291" s="729"/>
    </row>
    <row r="1292" spans="3:15">
      <c r="C1292" s="720">
        <f>IF(D1254="","-",+C1291+1)</f>
        <v>2047</v>
      </c>
      <c r="D1292" s="673">
        <f t="shared" si="79"/>
        <v>903832.68181818409</v>
      </c>
      <c r="E1292" s="726">
        <f t="shared" si="83"/>
        <v>69525.590909090912</v>
      </c>
      <c r="F1292" s="673">
        <f t="shared" si="78"/>
        <v>834307.09090909315</v>
      </c>
      <c r="G1292" s="1263">
        <f t="shared" si="80"/>
        <v>202851.80822698455</v>
      </c>
      <c r="H1292" s="1266">
        <f t="shared" si="81"/>
        <v>202851.80822698455</v>
      </c>
      <c r="I1292" s="724">
        <f t="shared" si="82"/>
        <v>0</v>
      </c>
      <c r="J1292" s="724"/>
      <c r="K1292" s="869"/>
      <c r="L1292" s="729"/>
      <c r="M1292" s="869"/>
      <c r="N1292" s="729"/>
      <c r="O1292" s="729"/>
    </row>
    <row r="1293" spans="3:15">
      <c r="C1293" s="720">
        <f>IF(D1254="","-",+C1292+1)</f>
        <v>2048</v>
      </c>
      <c r="D1293" s="673">
        <f t="shared" si="79"/>
        <v>834307.09090909315</v>
      </c>
      <c r="E1293" s="726">
        <f t="shared" si="83"/>
        <v>69525.590909090912</v>
      </c>
      <c r="F1293" s="673">
        <f t="shared" si="78"/>
        <v>764781.50000000221</v>
      </c>
      <c r="G1293" s="1263">
        <f t="shared" si="80"/>
        <v>192185.71084155311</v>
      </c>
      <c r="H1293" s="1266">
        <f t="shared" si="81"/>
        <v>192185.71084155311</v>
      </c>
      <c r="I1293" s="724">
        <f t="shared" si="82"/>
        <v>0</v>
      </c>
      <c r="J1293" s="724"/>
      <c r="K1293" s="869"/>
      <c r="L1293" s="729"/>
      <c r="M1293" s="869"/>
      <c r="N1293" s="729"/>
      <c r="O1293" s="729"/>
    </row>
    <row r="1294" spans="3:15">
      <c r="C1294" s="720">
        <f>IF(D1254="","-",+C1293+1)</f>
        <v>2049</v>
      </c>
      <c r="D1294" s="673">
        <f t="shared" si="79"/>
        <v>764781.50000000221</v>
      </c>
      <c r="E1294" s="726">
        <f t="shared" si="83"/>
        <v>69525.590909090912</v>
      </c>
      <c r="F1294" s="673">
        <f t="shared" si="78"/>
        <v>695255.90909091127</v>
      </c>
      <c r="G1294" s="1263">
        <f t="shared" si="80"/>
        <v>181519.61345612159</v>
      </c>
      <c r="H1294" s="1266">
        <f t="shared" si="81"/>
        <v>181519.61345612159</v>
      </c>
      <c r="I1294" s="724">
        <f t="shared" si="82"/>
        <v>0</v>
      </c>
      <c r="J1294" s="724"/>
      <c r="K1294" s="869"/>
      <c r="L1294" s="729"/>
      <c r="M1294" s="869"/>
      <c r="N1294" s="729"/>
      <c r="O1294" s="729"/>
    </row>
    <row r="1295" spans="3:15">
      <c r="C1295" s="720">
        <f>IF(D1254="","-",+C1294+1)</f>
        <v>2050</v>
      </c>
      <c r="D1295" s="673">
        <f t="shared" si="79"/>
        <v>695255.90909091127</v>
      </c>
      <c r="E1295" s="726">
        <f t="shared" si="83"/>
        <v>69525.590909090912</v>
      </c>
      <c r="F1295" s="673">
        <f t="shared" si="78"/>
        <v>625730.31818182033</v>
      </c>
      <c r="G1295" s="1263">
        <f t="shared" si="80"/>
        <v>170853.51607069015</v>
      </c>
      <c r="H1295" s="1266">
        <f t="shared" si="81"/>
        <v>170853.51607069015</v>
      </c>
      <c r="I1295" s="724">
        <f t="shared" si="82"/>
        <v>0</v>
      </c>
      <c r="J1295" s="724"/>
      <c r="K1295" s="869"/>
      <c r="L1295" s="729"/>
      <c r="M1295" s="869"/>
      <c r="N1295" s="729"/>
      <c r="O1295" s="729"/>
    </row>
    <row r="1296" spans="3:15">
      <c r="C1296" s="720">
        <f>IF(D1254="","-",+C1295+1)</f>
        <v>2051</v>
      </c>
      <c r="D1296" s="673">
        <f t="shared" si="79"/>
        <v>625730.31818182033</v>
      </c>
      <c r="E1296" s="726">
        <f t="shared" si="83"/>
        <v>69525.590909090912</v>
      </c>
      <c r="F1296" s="673">
        <f t="shared" si="78"/>
        <v>556204.72727272939</v>
      </c>
      <c r="G1296" s="1263">
        <f t="shared" si="80"/>
        <v>160187.41868525866</v>
      </c>
      <c r="H1296" s="1266">
        <f t="shared" si="81"/>
        <v>160187.41868525866</v>
      </c>
      <c r="I1296" s="724">
        <f t="shared" si="82"/>
        <v>0</v>
      </c>
      <c r="J1296" s="724"/>
      <c r="K1296" s="869"/>
      <c r="L1296" s="729"/>
      <c r="M1296" s="869"/>
      <c r="N1296" s="729"/>
      <c r="O1296" s="729"/>
    </row>
    <row r="1297" spans="3:15">
      <c r="C1297" s="720">
        <f>IF(D1254="","-",+C1296+1)</f>
        <v>2052</v>
      </c>
      <c r="D1297" s="673">
        <f t="shared" si="79"/>
        <v>556204.72727272939</v>
      </c>
      <c r="E1297" s="726">
        <f t="shared" si="83"/>
        <v>69525.590909090912</v>
      </c>
      <c r="F1297" s="673">
        <f t="shared" si="78"/>
        <v>486679.13636363845</v>
      </c>
      <c r="G1297" s="1263">
        <f t="shared" si="80"/>
        <v>149521.32129982719</v>
      </c>
      <c r="H1297" s="1266">
        <f t="shared" si="81"/>
        <v>149521.32129982719</v>
      </c>
      <c r="I1297" s="724">
        <f t="shared" si="82"/>
        <v>0</v>
      </c>
      <c r="J1297" s="724"/>
      <c r="K1297" s="869"/>
      <c r="L1297" s="729"/>
      <c r="M1297" s="869"/>
      <c r="N1297" s="729"/>
      <c r="O1297" s="729"/>
    </row>
    <row r="1298" spans="3:15">
      <c r="C1298" s="720">
        <f>IF(D1254="","-",+C1297+1)</f>
        <v>2053</v>
      </c>
      <c r="D1298" s="673">
        <f t="shared" si="79"/>
        <v>486679.13636363845</v>
      </c>
      <c r="E1298" s="726">
        <f t="shared" si="83"/>
        <v>69525.590909090912</v>
      </c>
      <c r="F1298" s="673">
        <f t="shared" si="78"/>
        <v>417153.54545454751</v>
      </c>
      <c r="G1298" s="1263">
        <f t="shared" si="80"/>
        <v>138855.22391439573</v>
      </c>
      <c r="H1298" s="1266">
        <f t="shared" si="81"/>
        <v>138855.22391439573</v>
      </c>
      <c r="I1298" s="724">
        <f t="shared" si="82"/>
        <v>0</v>
      </c>
      <c r="J1298" s="724"/>
      <c r="K1298" s="869"/>
      <c r="L1298" s="729"/>
      <c r="M1298" s="869"/>
      <c r="N1298" s="729"/>
      <c r="O1298" s="729"/>
    </row>
    <row r="1299" spans="3:15">
      <c r="C1299" s="720">
        <f>IF(D1254="","-",+C1298+1)</f>
        <v>2054</v>
      </c>
      <c r="D1299" s="673">
        <f t="shared" si="79"/>
        <v>417153.54545454751</v>
      </c>
      <c r="E1299" s="726">
        <f t="shared" si="83"/>
        <v>69525.590909090912</v>
      </c>
      <c r="F1299" s="673">
        <f t="shared" si="78"/>
        <v>347627.95454545657</v>
      </c>
      <c r="G1299" s="1263">
        <f t="shared" si="80"/>
        <v>128189.12652896428</v>
      </c>
      <c r="H1299" s="1266">
        <f t="shared" si="81"/>
        <v>128189.12652896428</v>
      </c>
      <c r="I1299" s="724">
        <f t="shared" si="82"/>
        <v>0</v>
      </c>
      <c r="J1299" s="724"/>
      <c r="K1299" s="869"/>
      <c r="L1299" s="729"/>
      <c r="M1299" s="869"/>
      <c r="N1299" s="729"/>
      <c r="O1299" s="729"/>
    </row>
    <row r="1300" spans="3:15">
      <c r="C1300" s="720">
        <f>IF(D1254="","-",+C1299+1)</f>
        <v>2055</v>
      </c>
      <c r="D1300" s="673">
        <f t="shared" si="79"/>
        <v>347627.95454545657</v>
      </c>
      <c r="E1300" s="726">
        <f t="shared" si="83"/>
        <v>69525.590909090912</v>
      </c>
      <c r="F1300" s="673">
        <f t="shared" si="78"/>
        <v>278102.36363636563</v>
      </c>
      <c r="G1300" s="1263">
        <f t="shared" si="80"/>
        <v>117523.0291435328</v>
      </c>
      <c r="H1300" s="1266">
        <f t="shared" si="81"/>
        <v>117523.0291435328</v>
      </c>
      <c r="I1300" s="724">
        <f t="shared" si="82"/>
        <v>0</v>
      </c>
      <c r="J1300" s="724"/>
      <c r="K1300" s="869"/>
      <c r="L1300" s="729"/>
      <c r="M1300" s="869"/>
      <c r="N1300" s="729"/>
      <c r="O1300" s="729"/>
    </row>
    <row r="1301" spans="3:15">
      <c r="C1301" s="720">
        <f>IF(D1254="","-",+C1300+1)</f>
        <v>2056</v>
      </c>
      <c r="D1301" s="673">
        <f t="shared" si="79"/>
        <v>278102.36363636563</v>
      </c>
      <c r="E1301" s="726">
        <f t="shared" si="83"/>
        <v>69525.590909090912</v>
      </c>
      <c r="F1301" s="673">
        <f t="shared" si="78"/>
        <v>208576.77272727471</v>
      </c>
      <c r="G1301" s="1263">
        <f t="shared" si="80"/>
        <v>106856.93175810133</v>
      </c>
      <c r="H1301" s="1266">
        <f t="shared" si="81"/>
        <v>106856.93175810133</v>
      </c>
      <c r="I1301" s="724">
        <f t="shared" si="82"/>
        <v>0</v>
      </c>
      <c r="J1301" s="724"/>
      <c r="K1301" s="869"/>
      <c r="L1301" s="729"/>
      <c r="M1301" s="869"/>
      <c r="N1301" s="729"/>
      <c r="O1301" s="729"/>
    </row>
    <row r="1302" spans="3:15">
      <c r="C1302" s="720">
        <f>IF(D1254="","-",+C1301+1)</f>
        <v>2057</v>
      </c>
      <c r="D1302" s="673">
        <f t="shared" si="79"/>
        <v>208576.77272727471</v>
      </c>
      <c r="E1302" s="726">
        <f t="shared" si="83"/>
        <v>69525.590909090912</v>
      </c>
      <c r="F1302" s="673">
        <f t="shared" si="78"/>
        <v>139051.1818181838</v>
      </c>
      <c r="G1302" s="1263">
        <f t="shared" si="80"/>
        <v>96190.83437266988</v>
      </c>
      <c r="H1302" s="1266">
        <f t="shared" si="81"/>
        <v>96190.83437266988</v>
      </c>
      <c r="I1302" s="724">
        <f t="shared" si="82"/>
        <v>0</v>
      </c>
      <c r="J1302" s="724"/>
      <c r="K1302" s="869"/>
      <c r="L1302" s="729"/>
      <c r="M1302" s="869"/>
      <c r="N1302" s="729"/>
      <c r="O1302" s="729"/>
    </row>
    <row r="1303" spans="3:15">
      <c r="C1303" s="720">
        <f>IF(D1254="","-",+C1302+1)</f>
        <v>2058</v>
      </c>
      <c r="D1303" s="673">
        <f t="shared" si="79"/>
        <v>139051.1818181838</v>
      </c>
      <c r="E1303" s="726">
        <f t="shared" si="83"/>
        <v>69525.590909090912</v>
      </c>
      <c r="F1303" s="673">
        <f t="shared" si="78"/>
        <v>69525.590909092891</v>
      </c>
      <c r="G1303" s="1263">
        <f t="shared" si="80"/>
        <v>85524.736987238415</v>
      </c>
      <c r="H1303" s="1266">
        <f t="shared" si="81"/>
        <v>85524.736987238415</v>
      </c>
      <c r="I1303" s="724">
        <f t="shared" si="82"/>
        <v>0</v>
      </c>
      <c r="J1303" s="724"/>
      <c r="K1303" s="869"/>
      <c r="L1303" s="729"/>
      <c r="M1303" s="869"/>
      <c r="N1303" s="729"/>
      <c r="O1303" s="729"/>
    </row>
    <row r="1304" spans="3:15">
      <c r="C1304" s="720">
        <f>IF(D1254="","-",+C1303+1)</f>
        <v>2059</v>
      </c>
      <c r="D1304" s="673">
        <f t="shared" si="79"/>
        <v>69525.590909092891</v>
      </c>
      <c r="E1304" s="726">
        <f t="shared" si="83"/>
        <v>69525.590909090912</v>
      </c>
      <c r="F1304" s="673">
        <f t="shared" si="78"/>
        <v>1.9790604710578918E-9</v>
      </c>
      <c r="G1304" s="1263">
        <f t="shared" si="80"/>
        <v>74858.63960180695</v>
      </c>
      <c r="H1304" s="1266">
        <f t="shared" si="81"/>
        <v>74858.63960180695</v>
      </c>
      <c r="I1304" s="724">
        <f t="shared" si="82"/>
        <v>0</v>
      </c>
      <c r="J1304" s="724"/>
      <c r="K1304" s="869"/>
      <c r="L1304" s="729"/>
      <c r="M1304" s="869"/>
      <c r="N1304" s="729"/>
      <c r="O1304" s="729"/>
    </row>
    <row r="1305" spans="3:15">
      <c r="C1305" s="720">
        <f>IF(D1254="","-",+C1304+1)</f>
        <v>2060</v>
      </c>
      <c r="D1305" s="673">
        <f t="shared" si="79"/>
        <v>1.9790604710578918E-9</v>
      </c>
      <c r="E1305" s="726">
        <f t="shared" si="83"/>
        <v>1.9790604710578918E-9</v>
      </c>
      <c r="F1305" s="673">
        <f t="shared" si="78"/>
        <v>0</v>
      </c>
      <c r="G1305" s="1263">
        <f t="shared" si="80"/>
        <v>2.1308668163183192E-9</v>
      </c>
      <c r="H1305" s="1266">
        <f t="shared" si="81"/>
        <v>2.1308668163183192E-9</v>
      </c>
      <c r="I1305" s="724">
        <f t="shared" si="82"/>
        <v>0</v>
      </c>
      <c r="J1305" s="724"/>
      <c r="K1305" s="869"/>
      <c r="L1305" s="729"/>
      <c r="M1305" s="869"/>
      <c r="N1305" s="729"/>
      <c r="O1305" s="729"/>
    </row>
    <row r="1306" spans="3:15">
      <c r="C1306" s="720">
        <f>IF(D1254="","-",+C1305+1)</f>
        <v>2061</v>
      </c>
      <c r="D1306" s="673">
        <f t="shared" si="79"/>
        <v>0</v>
      </c>
      <c r="E1306" s="726">
        <f t="shared" si="83"/>
        <v>0</v>
      </c>
      <c r="F1306" s="673">
        <f t="shared" si="78"/>
        <v>0</v>
      </c>
      <c r="G1306" s="1263">
        <f t="shared" si="80"/>
        <v>0</v>
      </c>
      <c r="H1306" s="1266">
        <f t="shared" si="81"/>
        <v>0</v>
      </c>
      <c r="I1306" s="724">
        <f t="shared" si="82"/>
        <v>0</v>
      </c>
      <c r="J1306" s="724"/>
      <c r="K1306" s="869"/>
      <c r="L1306" s="729"/>
      <c r="M1306" s="869"/>
      <c r="N1306" s="729"/>
      <c r="O1306" s="729"/>
    </row>
    <row r="1307" spans="3:15">
      <c r="C1307" s="720">
        <f>IF(D1254="","-",+C1306+1)</f>
        <v>2062</v>
      </c>
      <c r="D1307" s="673">
        <f t="shared" si="79"/>
        <v>0</v>
      </c>
      <c r="E1307" s="726">
        <f t="shared" si="83"/>
        <v>0</v>
      </c>
      <c r="F1307" s="673">
        <f t="shared" si="78"/>
        <v>0</v>
      </c>
      <c r="G1307" s="1263">
        <f t="shared" si="80"/>
        <v>0</v>
      </c>
      <c r="H1307" s="1266">
        <f t="shared" si="81"/>
        <v>0</v>
      </c>
      <c r="I1307" s="724">
        <f t="shared" si="82"/>
        <v>0</v>
      </c>
      <c r="J1307" s="724"/>
      <c r="K1307" s="869"/>
      <c r="L1307" s="729"/>
      <c r="M1307" s="869"/>
      <c r="N1307" s="729"/>
      <c r="O1307" s="729"/>
    </row>
    <row r="1308" spans="3:15">
      <c r="C1308" s="720">
        <f>IF(D1254="","-",+C1307+1)</f>
        <v>2063</v>
      </c>
      <c r="D1308" s="673">
        <f t="shared" si="79"/>
        <v>0</v>
      </c>
      <c r="E1308" s="726">
        <f t="shared" si="83"/>
        <v>0</v>
      </c>
      <c r="F1308" s="673">
        <f t="shared" si="78"/>
        <v>0</v>
      </c>
      <c r="G1308" s="1263">
        <f t="shared" si="80"/>
        <v>0</v>
      </c>
      <c r="H1308" s="1266">
        <f t="shared" si="81"/>
        <v>0</v>
      </c>
      <c r="I1308" s="724">
        <f t="shared" si="82"/>
        <v>0</v>
      </c>
      <c r="J1308" s="724"/>
      <c r="K1308" s="869"/>
      <c r="L1308" s="729"/>
      <c r="M1308" s="869"/>
      <c r="N1308" s="729"/>
      <c r="O1308" s="729"/>
    </row>
    <row r="1309" spans="3:15">
      <c r="C1309" s="720">
        <f>IF(D1254="","-",+C1308+1)</f>
        <v>2064</v>
      </c>
      <c r="D1309" s="673">
        <f t="shared" si="79"/>
        <v>0</v>
      </c>
      <c r="E1309" s="726">
        <f t="shared" si="83"/>
        <v>0</v>
      </c>
      <c r="F1309" s="673">
        <f t="shared" si="78"/>
        <v>0</v>
      </c>
      <c r="G1309" s="1263">
        <f t="shared" si="80"/>
        <v>0</v>
      </c>
      <c r="H1309" s="1266">
        <f t="shared" si="81"/>
        <v>0</v>
      </c>
      <c r="I1309" s="724">
        <f t="shared" si="82"/>
        <v>0</v>
      </c>
      <c r="J1309" s="724"/>
      <c r="K1309" s="869"/>
      <c r="L1309" s="729"/>
      <c r="M1309" s="869"/>
      <c r="N1309" s="729"/>
      <c r="O1309" s="729"/>
    </row>
    <row r="1310" spans="3:15">
      <c r="C1310" s="720">
        <f>IF(D1254="","-",+C1309+1)</f>
        <v>2065</v>
      </c>
      <c r="D1310" s="673">
        <f t="shared" si="79"/>
        <v>0</v>
      </c>
      <c r="E1310" s="726">
        <f t="shared" si="83"/>
        <v>0</v>
      </c>
      <c r="F1310" s="673">
        <f t="shared" si="78"/>
        <v>0</v>
      </c>
      <c r="G1310" s="1263">
        <f t="shared" si="80"/>
        <v>0</v>
      </c>
      <c r="H1310" s="1266">
        <f t="shared" si="81"/>
        <v>0</v>
      </c>
      <c r="I1310" s="724">
        <f t="shared" si="82"/>
        <v>0</v>
      </c>
      <c r="J1310" s="724"/>
      <c r="K1310" s="869"/>
      <c r="L1310" s="729"/>
      <c r="M1310" s="869"/>
      <c r="N1310" s="729"/>
      <c r="O1310" s="729"/>
    </row>
    <row r="1311" spans="3:15">
      <c r="C1311" s="720">
        <f>IF(D1254="","-",+C1310+1)</f>
        <v>2066</v>
      </c>
      <c r="D1311" s="673">
        <f t="shared" si="79"/>
        <v>0</v>
      </c>
      <c r="E1311" s="726">
        <f t="shared" si="83"/>
        <v>0</v>
      </c>
      <c r="F1311" s="673">
        <f t="shared" si="78"/>
        <v>0</v>
      </c>
      <c r="G1311" s="1263">
        <f t="shared" si="80"/>
        <v>0</v>
      </c>
      <c r="H1311" s="1266">
        <f t="shared" si="81"/>
        <v>0</v>
      </c>
      <c r="I1311" s="724">
        <f t="shared" si="82"/>
        <v>0</v>
      </c>
      <c r="J1311" s="724"/>
      <c r="K1311" s="869"/>
      <c r="L1311" s="729"/>
      <c r="M1311" s="869"/>
      <c r="N1311" s="729"/>
      <c r="O1311" s="729"/>
    </row>
    <row r="1312" spans="3:15">
      <c r="C1312" s="720">
        <f>IF(D1254="","-",+C1311+1)</f>
        <v>2067</v>
      </c>
      <c r="D1312" s="673">
        <f t="shared" si="79"/>
        <v>0</v>
      </c>
      <c r="E1312" s="726">
        <f t="shared" si="83"/>
        <v>0</v>
      </c>
      <c r="F1312" s="673">
        <f t="shared" si="78"/>
        <v>0</v>
      </c>
      <c r="G1312" s="1263">
        <f t="shared" si="80"/>
        <v>0</v>
      </c>
      <c r="H1312" s="1266">
        <f t="shared" si="81"/>
        <v>0</v>
      </c>
      <c r="I1312" s="724">
        <f t="shared" si="82"/>
        <v>0</v>
      </c>
      <c r="J1312" s="724"/>
      <c r="K1312" s="869"/>
      <c r="L1312" s="729"/>
      <c r="M1312" s="869"/>
      <c r="N1312" s="729"/>
      <c r="O1312" s="729"/>
    </row>
    <row r="1313" spans="3:15">
      <c r="C1313" s="720">
        <f>IF(D1254="","-",+C1312+1)</f>
        <v>2068</v>
      </c>
      <c r="D1313" s="673">
        <f t="shared" si="79"/>
        <v>0</v>
      </c>
      <c r="E1313" s="726">
        <f t="shared" si="83"/>
        <v>0</v>
      </c>
      <c r="F1313" s="673">
        <f t="shared" si="78"/>
        <v>0</v>
      </c>
      <c r="G1313" s="1263">
        <f t="shared" si="80"/>
        <v>0</v>
      </c>
      <c r="H1313" s="1266">
        <f t="shared" si="81"/>
        <v>0</v>
      </c>
      <c r="I1313" s="724">
        <f t="shared" si="82"/>
        <v>0</v>
      </c>
      <c r="J1313" s="724"/>
      <c r="K1313" s="869"/>
      <c r="L1313" s="729"/>
      <c r="M1313" s="869"/>
      <c r="N1313" s="729"/>
      <c r="O1313" s="729"/>
    </row>
    <row r="1314" spans="3:15">
      <c r="C1314" s="720">
        <f>IF(D1254="","-",+C1313+1)</f>
        <v>2069</v>
      </c>
      <c r="D1314" s="673">
        <f t="shared" si="79"/>
        <v>0</v>
      </c>
      <c r="E1314" s="726">
        <f t="shared" si="83"/>
        <v>0</v>
      </c>
      <c r="F1314" s="673">
        <f t="shared" si="78"/>
        <v>0</v>
      </c>
      <c r="G1314" s="1263">
        <f t="shared" si="80"/>
        <v>0</v>
      </c>
      <c r="H1314" s="1266">
        <f t="shared" si="81"/>
        <v>0</v>
      </c>
      <c r="I1314" s="724">
        <f t="shared" si="82"/>
        <v>0</v>
      </c>
      <c r="J1314" s="724"/>
      <c r="K1314" s="869"/>
      <c r="L1314" s="729"/>
      <c r="M1314" s="869"/>
      <c r="N1314" s="729"/>
      <c r="O1314" s="729"/>
    </row>
    <row r="1315" spans="3:15">
      <c r="C1315" s="720">
        <f>IF(D1254="","-",+C1314+1)</f>
        <v>2070</v>
      </c>
      <c r="D1315" s="673">
        <f t="shared" si="79"/>
        <v>0</v>
      </c>
      <c r="E1315" s="726">
        <f t="shared" si="83"/>
        <v>0</v>
      </c>
      <c r="F1315" s="673">
        <f t="shared" si="78"/>
        <v>0</v>
      </c>
      <c r="G1315" s="1263">
        <f t="shared" si="80"/>
        <v>0</v>
      </c>
      <c r="H1315" s="1266">
        <f t="shared" si="81"/>
        <v>0</v>
      </c>
      <c r="I1315" s="724">
        <f t="shared" si="82"/>
        <v>0</v>
      </c>
      <c r="J1315" s="724"/>
      <c r="K1315" s="869"/>
      <c r="L1315" s="729"/>
      <c r="M1315" s="869"/>
      <c r="N1315" s="729"/>
      <c r="O1315" s="729"/>
    </row>
    <row r="1316" spans="3:15">
      <c r="C1316" s="720">
        <f>IF(D1254="","-",+C1315+1)</f>
        <v>2071</v>
      </c>
      <c r="D1316" s="673">
        <f t="shared" si="79"/>
        <v>0</v>
      </c>
      <c r="E1316" s="726">
        <f t="shared" si="83"/>
        <v>0</v>
      </c>
      <c r="F1316" s="673">
        <f t="shared" si="78"/>
        <v>0</v>
      </c>
      <c r="G1316" s="1263">
        <f t="shared" si="80"/>
        <v>0</v>
      </c>
      <c r="H1316" s="1266">
        <f t="shared" si="81"/>
        <v>0</v>
      </c>
      <c r="I1316" s="724">
        <f t="shared" si="82"/>
        <v>0</v>
      </c>
      <c r="J1316" s="724"/>
      <c r="K1316" s="869"/>
      <c r="L1316" s="729"/>
      <c r="M1316" s="869"/>
      <c r="N1316" s="729"/>
      <c r="O1316" s="729"/>
    </row>
    <row r="1317" spans="3:15">
      <c r="C1317" s="720">
        <f>IF(D1254="","-",+C1316+1)</f>
        <v>2072</v>
      </c>
      <c r="D1317" s="673">
        <f t="shared" si="79"/>
        <v>0</v>
      </c>
      <c r="E1317" s="726">
        <f t="shared" si="83"/>
        <v>0</v>
      </c>
      <c r="F1317" s="673">
        <f t="shared" si="78"/>
        <v>0</v>
      </c>
      <c r="G1317" s="1263">
        <f t="shared" si="80"/>
        <v>0</v>
      </c>
      <c r="H1317" s="1266">
        <f t="shared" si="81"/>
        <v>0</v>
      </c>
      <c r="I1317" s="724">
        <f t="shared" si="82"/>
        <v>0</v>
      </c>
      <c r="J1317" s="724"/>
      <c r="K1317" s="869"/>
      <c r="L1317" s="729"/>
      <c r="M1317" s="869"/>
      <c r="N1317" s="729"/>
      <c r="O1317" s="729"/>
    </row>
    <row r="1318" spans="3:15">
      <c r="C1318" s="720">
        <f>IF(D1254="","-",+C1317+1)</f>
        <v>2073</v>
      </c>
      <c r="D1318" s="673">
        <f t="shared" si="79"/>
        <v>0</v>
      </c>
      <c r="E1318" s="726">
        <f t="shared" si="83"/>
        <v>0</v>
      </c>
      <c r="F1318" s="673">
        <f t="shared" si="78"/>
        <v>0</v>
      </c>
      <c r="G1318" s="1263">
        <f t="shared" si="80"/>
        <v>0</v>
      </c>
      <c r="H1318" s="1266">
        <f t="shared" si="81"/>
        <v>0</v>
      </c>
      <c r="I1318" s="724">
        <f t="shared" si="82"/>
        <v>0</v>
      </c>
      <c r="J1318" s="724"/>
      <c r="K1318" s="869"/>
      <c r="L1318" s="729"/>
      <c r="M1318" s="869"/>
      <c r="N1318" s="729"/>
      <c r="O1318" s="729"/>
    </row>
    <row r="1319" spans="3:15" ht="13.5" thickBot="1">
      <c r="C1319" s="730">
        <f>IF(D1254="","-",+C1318+1)</f>
        <v>2074</v>
      </c>
      <c r="D1319" s="731">
        <f t="shared" si="79"/>
        <v>0</v>
      </c>
      <c r="E1319" s="732">
        <f t="shared" si="83"/>
        <v>0</v>
      </c>
      <c r="F1319" s="731">
        <f t="shared" si="78"/>
        <v>0</v>
      </c>
      <c r="G1319" s="1274">
        <f t="shared" si="80"/>
        <v>0</v>
      </c>
      <c r="H1319" s="1274">
        <f t="shared" si="81"/>
        <v>0</v>
      </c>
      <c r="I1319" s="734">
        <f t="shared" si="82"/>
        <v>0</v>
      </c>
      <c r="J1319" s="724"/>
      <c r="K1319" s="870"/>
      <c r="L1319" s="736"/>
      <c r="M1319" s="870"/>
      <c r="N1319" s="736"/>
      <c r="O1319" s="736"/>
    </row>
    <row r="1320" spans="3:15">
      <c r="C1320" s="673" t="s">
        <v>288</v>
      </c>
      <c r="D1320" s="1242"/>
      <c r="E1320" s="673"/>
      <c r="F1320" s="1242"/>
      <c r="G1320" s="1242">
        <f>SUM(G1260:G1319)</f>
        <v>13853216.554056652</v>
      </c>
      <c r="H1320" s="1242">
        <f>SUM(H1260:H1319)</f>
        <v>13853216.554056652</v>
      </c>
      <c r="I1320" s="1242">
        <f>SUM(I1260:I1319)</f>
        <v>0</v>
      </c>
      <c r="J1320" s="1242"/>
      <c r="K1320" s="1242"/>
      <c r="L1320" s="1242"/>
      <c r="M1320" s="1242"/>
      <c r="N1320" s="1242"/>
      <c r="O1320" s="542"/>
    </row>
    <row r="1321" spans="3:15">
      <c r="D1321" s="563"/>
      <c r="E1321" s="542"/>
      <c r="F1321" s="542"/>
      <c r="G1321" s="542"/>
      <c r="H1321" s="1241"/>
      <c r="I1321" s="1241"/>
      <c r="J1321" s="1242"/>
      <c r="K1321" s="1241"/>
      <c r="L1321" s="1241"/>
      <c r="M1321" s="1241"/>
      <c r="N1321" s="1241"/>
      <c r="O1321" s="542"/>
    </row>
    <row r="1322" spans="3:15">
      <c r="C1322" s="542" t="s">
        <v>595</v>
      </c>
      <c r="D1322" s="563"/>
      <c r="E1322" s="542"/>
      <c r="F1322" s="542"/>
      <c r="G1322" s="542"/>
      <c r="H1322" s="1241"/>
      <c r="I1322" s="1241"/>
      <c r="J1322" s="1242"/>
      <c r="K1322" s="1241"/>
      <c r="L1322" s="1241"/>
      <c r="M1322" s="1241"/>
      <c r="N1322" s="1241"/>
      <c r="O1322" s="542"/>
    </row>
    <row r="1323" spans="3:15">
      <c r="C1323" s="542"/>
      <c r="D1323" s="563"/>
      <c r="E1323" s="542"/>
      <c r="F1323" s="542"/>
      <c r="G1323" s="542"/>
      <c r="H1323" s="1241"/>
      <c r="I1323" s="1241"/>
      <c r="J1323" s="1242"/>
      <c r="K1323" s="1241"/>
      <c r="L1323" s="1241"/>
      <c r="M1323" s="1241"/>
      <c r="N1323" s="1241"/>
      <c r="O1323" s="542"/>
    </row>
    <row r="1324" spans="3:15">
      <c r="C1324" s="684" t="s">
        <v>934</v>
      </c>
      <c r="D1324" s="673"/>
      <c r="E1324" s="673"/>
      <c r="F1324" s="673"/>
      <c r="G1324" s="1242"/>
      <c r="H1324" s="1242"/>
      <c r="I1324" s="674"/>
      <c r="J1324" s="674"/>
      <c r="K1324" s="674"/>
      <c r="L1324" s="674"/>
      <c r="M1324" s="674"/>
      <c r="N1324" s="674"/>
      <c r="O1324" s="542"/>
    </row>
    <row r="1325" spans="3:15">
      <c r="C1325" s="684" t="s">
        <v>476</v>
      </c>
      <c r="D1325" s="673"/>
      <c r="E1325" s="673"/>
      <c r="F1325" s="673"/>
      <c r="G1325" s="1242"/>
      <c r="H1325" s="1242"/>
      <c r="I1325" s="674"/>
      <c r="J1325" s="674"/>
      <c r="K1325" s="674"/>
      <c r="L1325" s="674"/>
      <c r="M1325" s="674"/>
      <c r="N1325" s="674"/>
      <c r="O1325" s="542"/>
    </row>
    <row r="1326" spans="3:15">
      <c r="C1326" s="672" t="s">
        <v>289</v>
      </c>
      <c r="D1326" s="673"/>
      <c r="E1326" s="673"/>
      <c r="F1326" s="673"/>
      <c r="G1326" s="1242"/>
      <c r="H1326" s="1242"/>
      <c r="I1326" s="674"/>
      <c r="J1326" s="674"/>
      <c r="K1326" s="674"/>
      <c r="L1326" s="674"/>
      <c r="M1326" s="674"/>
      <c r="N1326" s="674"/>
      <c r="O1326" s="542"/>
    </row>
    <row r="1327" spans="3:15">
      <c r="C1327" s="672"/>
      <c r="D1327" s="673"/>
      <c r="E1327" s="673"/>
      <c r="F1327" s="673"/>
      <c r="G1327" s="1242"/>
      <c r="H1327" s="1242"/>
      <c r="I1327" s="674"/>
      <c r="J1327" s="674"/>
      <c r="K1327" s="674"/>
      <c r="L1327" s="674"/>
      <c r="M1327" s="674"/>
      <c r="N1327" s="674"/>
      <c r="O1327" s="542"/>
    </row>
    <row r="1328" spans="3:15">
      <c r="C1328" s="1701" t="s">
        <v>460</v>
      </c>
      <c r="D1328" s="1701"/>
      <c r="E1328" s="1701"/>
      <c r="F1328" s="1701"/>
      <c r="G1328" s="1701"/>
      <c r="H1328" s="1701"/>
      <c r="I1328" s="1701"/>
      <c r="J1328" s="1701"/>
      <c r="K1328" s="1701"/>
      <c r="L1328" s="1701"/>
      <c r="M1328" s="1701"/>
      <c r="N1328" s="1701"/>
      <c r="O1328" s="1701"/>
    </row>
    <row r="1329" spans="1:16">
      <c r="C1329" s="1701"/>
      <c r="D1329" s="1701"/>
      <c r="E1329" s="1701"/>
      <c r="F1329" s="1701"/>
      <c r="G1329" s="1701"/>
      <c r="H1329" s="1701"/>
      <c r="I1329" s="1701"/>
      <c r="J1329" s="1701"/>
      <c r="K1329" s="1701"/>
      <c r="L1329" s="1701"/>
      <c r="M1329" s="1701"/>
      <c r="N1329" s="1701"/>
      <c r="O1329" s="1701"/>
    </row>
    <row r="1330" spans="1:16" ht="20.25">
      <c r="A1330" s="675" t="s">
        <v>931</v>
      </c>
      <c r="B1330" s="576"/>
      <c r="C1330" s="655"/>
      <c r="D1330" s="563"/>
      <c r="E1330" s="542"/>
      <c r="F1330" s="645"/>
      <c r="G1330" s="542"/>
      <c r="H1330" s="1241"/>
      <c r="K1330" s="676"/>
      <c r="L1330" s="676"/>
      <c r="M1330" s="676"/>
      <c r="N1330" s="591" t="str">
        <f>"Page "&amp;SUM(P$6:P1330)&amp;" of "</f>
        <v xml:space="preserve">Page 15 of </v>
      </c>
      <c r="O1330" s="592">
        <f>COUNT(P$6:P$59579)</f>
        <v>22</v>
      </c>
      <c r="P1330" s="542">
        <v>1</v>
      </c>
    </row>
    <row r="1331" spans="1:16">
      <c r="B1331" s="576"/>
      <c r="C1331" s="542"/>
      <c r="D1331" s="563"/>
      <c r="E1331" s="542"/>
      <c r="F1331" s="542"/>
      <c r="G1331" s="542"/>
      <c r="H1331" s="1241"/>
      <c r="I1331" s="542"/>
      <c r="J1331" s="588"/>
      <c r="K1331" s="542"/>
      <c r="L1331" s="542"/>
      <c r="M1331" s="542"/>
      <c r="N1331" s="542"/>
      <c r="O1331" s="542"/>
    </row>
    <row r="1332" spans="1:16" ht="18">
      <c r="B1332" s="595" t="s">
        <v>174</v>
      </c>
      <c r="C1332" s="677" t="s">
        <v>290</v>
      </c>
      <c r="D1332" s="563"/>
      <c r="E1332" s="542"/>
      <c r="F1332" s="542"/>
      <c r="G1332" s="542"/>
      <c r="H1332" s="1241"/>
      <c r="I1332" s="1241"/>
      <c r="J1332" s="1242"/>
      <c r="K1332" s="1241"/>
      <c r="L1332" s="1241"/>
      <c r="M1332" s="1241"/>
      <c r="N1332" s="1241"/>
      <c r="O1332" s="542"/>
    </row>
    <row r="1333" spans="1:16" ht="18.75">
      <c r="B1333" s="595"/>
      <c r="C1333" s="594"/>
      <c r="D1333" s="563"/>
      <c r="E1333" s="542"/>
      <c r="F1333" s="542"/>
      <c r="G1333" s="542"/>
      <c r="H1333" s="1241"/>
      <c r="I1333" s="1241"/>
      <c r="J1333" s="1242"/>
      <c r="K1333" s="1241"/>
      <c r="L1333" s="1241"/>
      <c r="M1333" s="1241"/>
      <c r="N1333" s="1241"/>
      <c r="O1333" s="542"/>
    </row>
    <row r="1334" spans="1:16" ht="18.75">
      <c r="B1334" s="595"/>
      <c r="C1334" s="594" t="s">
        <v>291</v>
      </c>
      <c r="D1334" s="563"/>
      <c r="E1334" s="542"/>
      <c r="F1334" s="542"/>
      <c r="G1334" s="542"/>
      <c r="H1334" s="1241"/>
      <c r="I1334" s="1241"/>
      <c r="J1334" s="1242"/>
      <c r="K1334" s="1241"/>
      <c r="L1334" s="1241"/>
      <c r="M1334" s="1241"/>
      <c r="N1334" s="1241"/>
      <c r="O1334" s="542"/>
    </row>
    <row r="1335" spans="1:16" ht="15.75" thickBot="1">
      <c r="C1335" s="396"/>
      <c r="D1335" s="563"/>
      <c r="E1335" s="542"/>
      <c r="F1335" s="542"/>
      <c r="G1335" s="542"/>
      <c r="H1335" s="1241"/>
      <c r="I1335" s="1241"/>
      <c r="J1335" s="1242"/>
      <c r="K1335" s="1241"/>
      <c r="L1335" s="1241"/>
      <c r="M1335" s="1241"/>
      <c r="N1335" s="1241"/>
      <c r="O1335" s="542"/>
    </row>
    <row r="1336" spans="1:16" ht="15.75">
      <c r="C1336" s="596" t="s">
        <v>292</v>
      </c>
      <c r="D1336" s="563"/>
      <c r="E1336" s="542"/>
      <c r="F1336" s="542"/>
      <c r="G1336" s="1276"/>
      <c r="H1336" s="542" t="s">
        <v>271</v>
      </c>
      <c r="I1336" s="542"/>
      <c r="J1336" s="588"/>
      <c r="K1336" s="678" t="s">
        <v>296</v>
      </c>
      <c r="L1336" s="679"/>
      <c r="M1336" s="680"/>
      <c r="N1336" s="1244">
        <f>VLOOKUP(I1342,C1349:O1408,5)</f>
        <v>330670.17522073147</v>
      </c>
      <c r="O1336" s="542"/>
    </row>
    <row r="1337" spans="1:16" ht="15.75">
      <c r="C1337" s="596"/>
      <c r="D1337" s="563"/>
      <c r="E1337" s="542"/>
      <c r="F1337" s="542"/>
      <c r="G1337" s="542"/>
      <c r="H1337" s="1245"/>
      <c r="I1337" s="1245"/>
      <c r="J1337" s="1246"/>
      <c r="K1337" s="683" t="s">
        <v>297</v>
      </c>
      <c r="L1337" s="1247"/>
      <c r="M1337" s="588"/>
      <c r="N1337" s="1248">
        <f>VLOOKUP(I1342,C1349:O1408,6)</f>
        <v>330670.17522073147</v>
      </c>
      <c r="O1337" s="542"/>
    </row>
    <row r="1338" spans="1:16" ht="13.5" thickBot="1">
      <c r="C1338" s="684" t="s">
        <v>293</v>
      </c>
      <c r="D1338" s="1703" t="s">
        <v>948</v>
      </c>
      <c r="E1338" s="1703"/>
      <c r="F1338" s="1703"/>
      <c r="G1338" s="1703"/>
      <c r="H1338" s="1703"/>
      <c r="I1338" s="1703"/>
      <c r="J1338" s="1242"/>
      <c r="K1338" s="1249" t="s">
        <v>450</v>
      </c>
      <c r="L1338" s="1250"/>
      <c r="M1338" s="1250"/>
      <c r="N1338" s="1251">
        <f>+N1337-N1336</f>
        <v>0</v>
      </c>
      <c r="O1338" s="542"/>
    </row>
    <row r="1339" spans="1:16">
      <c r="C1339" s="686"/>
      <c r="D1339" s="687"/>
      <c r="E1339" s="671"/>
      <c r="F1339" s="671"/>
      <c r="G1339" s="688"/>
      <c r="H1339" s="1241"/>
      <c r="I1339" s="1241"/>
      <c r="J1339" s="1242"/>
      <c r="K1339" s="1241"/>
      <c r="L1339" s="1241"/>
      <c r="M1339" s="1241"/>
      <c r="N1339" s="1241"/>
      <c r="O1339" s="542"/>
    </row>
    <row r="1340" spans="1:16" ht="13.5" thickBot="1">
      <c r="C1340" s="689"/>
      <c r="D1340" s="1252"/>
      <c r="E1340" s="688"/>
      <c r="F1340" s="688"/>
      <c r="G1340" s="688"/>
      <c r="H1340" s="688"/>
      <c r="I1340" s="688"/>
      <c r="J1340" s="691"/>
      <c r="K1340" s="688"/>
      <c r="L1340" s="688"/>
      <c r="M1340" s="688"/>
      <c r="N1340" s="688"/>
      <c r="O1340" s="576"/>
    </row>
    <row r="1341" spans="1:16" ht="13.5" thickBot="1">
      <c r="C1341" s="692" t="s">
        <v>294</v>
      </c>
      <c r="D1341" s="693"/>
      <c r="E1341" s="693"/>
      <c r="F1341" s="693"/>
      <c r="G1341" s="693"/>
      <c r="H1341" s="693"/>
      <c r="I1341" s="694"/>
      <c r="J1341" s="695"/>
      <c r="K1341" s="542"/>
      <c r="L1341" s="542"/>
      <c r="M1341" s="542"/>
      <c r="N1341" s="542"/>
      <c r="O1341" s="696"/>
    </row>
    <row r="1342" spans="1:16" ht="15">
      <c r="C1342" s="697" t="s">
        <v>272</v>
      </c>
      <c r="D1342" s="1253">
        <v>1975056</v>
      </c>
      <c r="E1342" s="655" t="s">
        <v>273</v>
      </c>
      <c r="G1342" s="698"/>
      <c r="H1342" s="698"/>
      <c r="I1342" s="699">
        <v>2018</v>
      </c>
      <c r="J1342" s="586"/>
      <c r="K1342" s="1702" t="s">
        <v>459</v>
      </c>
      <c r="L1342" s="1702"/>
      <c r="M1342" s="1702"/>
      <c r="N1342" s="1702"/>
      <c r="O1342" s="1702"/>
    </row>
    <row r="1343" spans="1:16">
      <c r="C1343" s="697" t="s">
        <v>275</v>
      </c>
      <c r="D1343" s="865">
        <v>2015</v>
      </c>
      <c r="E1343" s="697" t="s">
        <v>276</v>
      </c>
      <c r="F1343" s="698"/>
      <c r="H1343" s="330"/>
      <c r="I1343" s="1254">
        <f>IF(G1336="",0,$F$15)</f>
        <v>0</v>
      </c>
      <c r="J1343" s="700"/>
      <c r="K1343" s="1242" t="s">
        <v>459</v>
      </c>
    </row>
    <row r="1344" spans="1:16">
      <c r="C1344" s="697" t="s">
        <v>277</v>
      </c>
      <c r="D1344" s="1253">
        <v>12</v>
      </c>
      <c r="E1344" s="697" t="s">
        <v>278</v>
      </c>
      <c r="F1344" s="698"/>
      <c r="H1344" s="330"/>
      <c r="I1344" s="701">
        <f>$G$70</f>
        <v>0.15341253840442806</v>
      </c>
      <c r="J1344" s="702"/>
      <c r="K1344" s="330" t="str">
        <f>"          INPUT PROJECTED ARR (WITH &amp; WITHOUT INCENTIVES) FROM EACH PRIOR YEAR"</f>
        <v xml:space="preserve">          INPUT PROJECTED ARR (WITH &amp; WITHOUT INCENTIVES) FROM EACH PRIOR YEAR</v>
      </c>
    </row>
    <row r="1345" spans="1:15">
      <c r="C1345" s="697" t="s">
        <v>279</v>
      </c>
      <c r="D1345" s="703">
        <f>G$79</f>
        <v>44</v>
      </c>
      <c r="E1345" s="697" t="s">
        <v>280</v>
      </c>
      <c r="F1345" s="698"/>
      <c r="H1345" s="330"/>
      <c r="I1345" s="701">
        <f>IF(G1336="",I1344,$G$67)</f>
        <v>0.15341253840442806</v>
      </c>
      <c r="J1345" s="704"/>
      <c r="K1345" s="330" t="s">
        <v>357</v>
      </c>
    </row>
    <row r="1346" spans="1:15" ht="13.5" thickBot="1">
      <c r="C1346" s="697" t="s">
        <v>281</v>
      </c>
      <c r="D1346" s="866" t="s">
        <v>933</v>
      </c>
      <c r="E1346" s="705" t="s">
        <v>282</v>
      </c>
      <c r="F1346" s="706"/>
      <c r="G1346" s="707"/>
      <c r="H1346" s="707"/>
      <c r="I1346" s="1251">
        <f>IF(D1342=0,0,D1342/D1345)</f>
        <v>44887.63636363636</v>
      </c>
      <c r="J1346" s="1242"/>
      <c r="K1346" s="1242" t="s">
        <v>363</v>
      </c>
      <c r="L1346" s="1242"/>
      <c r="M1346" s="1242"/>
      <c r="N1346" s="1242"/>
      <c r="O1346" s="588"/>
    </row>
    <row r="1347" spans="1:15" ht="51">
      <c r="A1347" s="529"/>
      <c r="B1347" s="1255"/>
      <c r="C1347" s="708" t="s">
        <v>272</v>
      </c>
      <c r="D1347" s="1256" t="s">
        <v>283</v>
      </c>
      <c r="E1347" s="1257" t="s">
        <v>284</v>
      </c>
      <c r="F1347" s="1256" t="s">
        <v>285</v>
      </c>
      <c r="G1347" s="1257" t="s">
        <v>356</v>
      </c>
      <c r="H1347" s="1258" t="s">
        <v>356</v>
      </c>
      <c r="I1347" s="708" t="s">
        <v>295</v>
      </c>
      <c r="J1347" s="712"/>
      <c r="K1347" s="1257" t="s">
        <v>365</v>
      </c>
      <c r="L1347" s="1259"/>
      <c r="M1347" s="1257" t="s">
        <v>365</v>
      </c>
      <c r="N1347" s="1259"/>
      <c r="O1347" s="1259"/>
    </row>
    <row r="1348" spans="1:15" ht="13.5" thickBot="1">
      <c r="C1348" s="714" t="s">
        <v>177</v>
      </c>
      <c r="D1348" s="715" t="s">
        <v>178</v>
      </c>
      <c r="E1348" s="714" t="s">
        <v>37</v>
      </c>
      <c r="F1348" s="715" t="s">
        <v>178</v>
      </c>
      <c r="G1348" s="1260" t="s">
        <v>298</v>
      </c>
      <c r="H1348" s="1261" t="s">
        <v>300</v>
      </c>
      <c r="I1348" s="718" t="s">
        <v>389</v>
      </c>
      <c r="J1348" s="719"/>
      <c r="K1348" s="1260" t="s">
        <v>287</v>
      </c>
      <c r="L1348" s="1262"/>
      <c r="M1348" s="1260" t="s">
        <v>300</v>
      </c>
      <c r="N1348" s="1262"/>
      <c r="O1348" s="1262"/>
    </row>
    <row r="1349" spans="1:15">
      <c r="C1349" s="720">
        <f>IF(D1343= "","-",D1343)</f>
        <v>2015</v>
      </c>
      <c r="D1349" s="673">
        <f>+D1342</f>
        <v>1975056</v>
      </c>
      <c r="E1349" s="1263">
        <f>+I1346/12*(12-D1344)</f>
        <v>0</v>
      </c>
      <c r="F1349" s="673">
        <f t="shared" ref="F1349:F1408" si="84">+D1349-E1349</f>
        <v>1975056</v>
      </c>
      <c r="G1349" s="1264">
        <f>+$I$1344*((D1349+F1349)/2)+E1349</f>
        <v>302998.35445089609</v>
      </c>
      <c r="H1349" s="1265">
        <f>$I$1345*((D1349+F1349)/2)+E1349</f>
        <v>302998.35445089609</v>
      </c>
      <c r="I1349" s="724">
        <f>+H1349-G1349</f>
        <v>0</v>
      </c>
      <c r="J1349" s="724"/>
      <c r="K1349" s="868">
        <v>265269</v>
      </c>
      <c r="L1349" s="725"/>
      <c r="M1349" s="868">
        <v>265269</v>
      </c>
      <c r="N1349" s="725"/>
      <c r="O1349" s="725"/>
    </row>
    <row r="1350" spans="1:15">
      <c r="C1350" s="720">
        <f>IF(D1343="","-",+C1349+1)</f>
        <v>2016</v>
      </c>
      <c r="D1350" s="673">
        <f t="shared" ref="D1350:D1408" si="85">F1349</f>
        <v>1975056</v>
      </c>
      <c r="E1350" s="726">
        <f>IF(D1350&gt;$I$1346,$I$1346,D1350)</f>
        <v>44887.63636363636</v>
      </c>
      <c r="F1350" s="673">
        <f t="shared" si="84"/>
        <v>1930168.3636363635</v>
      </c>
      <c r="G1350" s="1263">
        <f t="shared" ref="G1350:G1408" si="86">+$I$1344*((D1350+F1350)/2)+E1350</f>
        <v>344442.82769577223</v>
      </c>
      <c r="H1350" s="1266">
        <f t="shared" ref="H1350:H1408" si="87">$I$1345*((D1350+F1350)/2)+E1350</f>
        <v>344442.82769577223</v>
      </c>
      <c r="I1350" s="724">
        <f t="shared" ref="I1350:I1408" si="88">+H1350-G1350</f>
        <v>0</v>
      </c>
      <c r="J1350" s="724"/>
      <c r="K1350" s="869">
        <v>405050</v>
      </c>
      <c r="L1350" s="729"/>
      <c r="M1350" s="869">
        <v>405050</v>
      </c>
      <c r="N1350" s="729"/>
      <c r="O1350" s="729"/>
    </row>
    <row r="1351" spans="1:15">
      <c r="C1351" s="720">
        <f>IF(D1343="","-",+C1350+1)</f>
        <v>2017</v>
      </c>
      <c r="D1351" s="673">
        <f t="shared" si="85"/>
        <v>1930168.3636363635</v>
      </c>
      <c r="E1351" s="726">
        <f t="shared" ref="E1351:E1408" si="89">IF(D1351&gt;$I$1346,$I$1346,D1351)</f>
        <v>44887.63636363636</v>
      </c>
      <c r="F1351" s="673">
        <f t="shared" si="84"/>
        <v>1885280.7272727271</v>
      </c>
      <c r="G1351" s="1263">
        <f t="shared" si="86"/>
        <v>337556.50145825185</v>
      </c>
      <c r="H1351" s="1266">
        <f t="shared" si="87"/>
        <v>337556.50145825185</v>
      </c>
      <c r="I1351" s="724">
        <f t="shared" si="88"/>
        <v>0</v>
      </c>
      <c r="J1351" s="724"/>
      <c r="K1351" s="869">
        <v>419228</v>
      </c>
      <c r="L1351" s="729"/>
      <c r="M1351" s="869">
        <v>419228</v>
      </c>
      <c r="N1351" s="729"/>
      <c r="O1351" s="729"/>
    </row>
    <row r="1352" spans="1:15">
      <c r="C1352" s="1268">
        <f>IF(D1343="","-",+C1351+1)</f>
        <v>2018</v>
      </c>
      <c r="D1352" s="1269">
        <f t="shared" si="85"/>
        <v>1885280.7272727271</v>
      </c>
      <c r="E1352" s="1270">
        <f t="shared" si="89"/>
        <v>44887.63636363636</v>
      </c>
      <c r="F1352" s="1269">
        <f t="shared" si="84"/>
        <v>1840393.0909090906</v>
      </c>
      <c r="G1352" s="1271">
        <f t="shared" si="86"/>
        <v>330670.17522073147</v>
      </c>
      <c r="H1352" s="1272">
        <f t="shared" si="87"/>
        <v>330670.17522073147</v>
      </c>
      <c r="I1352" s="1273">
        <f t="shared" si="88"/>
        <v>0</v>
      </c>
      <c r="J1352" s="724"/>
      <c r="K1352" s="869"/>
      <c r="L1352" s="729"/>
      <c r="M1352" s="869"/>
      <c r="N1352" s="729"/>
      <c r="O1352" s="729"/>
    </row>
    <row r="1353" spans="1:15">
      <c r="C1353" s="720">
        <f>IF(D1343="","-",+C1352+1)</f>
        <v>2019</v>
      </c>
      <c r="D1353" s="673">
        <f t="shared" si="85"/>
        <v>1840393.0909090906</v>
      </c>
      <c r="E1353" s="726">
        <f t="shared" si="89"/>
        <v>44887.63636363636</v>
      </c>
      <c r="F1353" s="673">
        <f t="shared" si="84"/>
        <v>1795505.4545454541</v>
      </c>
      <c r="G1353" s="1263">
        <f t="shared" si="86"/>
        <v>323783.84898321109</v>
      </c>
      <c r="H1353" s="1266">
        <f t="shared" si="87"/>
        <v>323783.84898321109</v>
      </c>
      <c r="I1353" s="724">
        <f t="shared" si="88"/>
        <v>0</v>
      </c>
      <c r="J1353" s="724"/>
      <c r="K1353" s="869"/>
      <c r="L1353" s="729"/>
      <c r="M1353" s="869"/>
      <c r="N1353" s="729"/>
      <c r="O1353" s="729"/>
    </row>
    <row r="1354" spans="1:15">
      <c r="C1354" s="720">
        <f>IF(D1343="","-",+C1353+1)</f>
        <v>2020</v>
      </c>
      <c r="D1354" s="673">
        <f t="shared" si="85"/>
        <v>1795505.4545454541</v>
      </c>
      <c r="E1354" s="726">
        <f t="shared" si="89"/>
        <v>44887.63636363636</v>
      </c>
      <c r="F1354" s="673">
        <f t="shared" si="84"/>
        <v>1750617.8181818177</v>
      </c>
      <c r="G1354" s="1263">
        <f t="shared" si="86"/>
        <v>316897.52274569072</v>
      </c>
      <c r="H1354" s="1266">
        <f t="shared" si="87"/>
        <v>316897.52274569072</v>
      </c>
      <c r="I1354" s="724">
        <f t="shared" si="88"/>
        <v>0</v>
      </c>
      <c r="J1354" s="724"/>
      <c r="K1354" s="869"/>
      <c r="L1354" s="729"/>
      <c r="M1354" s="869"/>
      <c r="N1354" s="729"/>
      <c r="O1354" s="729"/>
    </row>
    <row r="1355" spans="1:15">
      <c r="C1355" s="720">
        <f>IF(D1343="","-",+C1354+1)</f>
        <v>2021</v>
      </c>
      <c r="D1355" s="673">
        <f t="shared" si="85"/>
        <v>1750617.8181818177</v>
      </c>
      <c r="E1355" s="726">
        <f t="shared" si="89"/>
        <v>44887.63636363636</v>
      </c>
      <c r="F1355" s="673">
        <f t="shared" si="84"/>
        <v>1705730.1818181812</v>
      </c>
      <c r="G1355" s="1263">
        <f t="shared" si="86"/>
        <v>310011.19650817034</v>
      </c>
      <c r="H1355" s="1266">
        <f t="shared" si="87"/>
        <v>310011.19650817034</v>
      </c>
      <c r="I1355" s="724">
        <f t="shared" si="88"/>
        <v>0</v>
      </c>
      <c r="J1355" s="724"/>
      <c r="K1355" s="869"/>
      <c r="L1355" s="729"/>
      <c r="M1355" s="869"/>
      <c r="N1355" s="729"/>
      <c r="O1355" s="729"/>
    </row>
    <row r="1356" spans="1:15">
      <c r="C1356" s="720">
        <f>IF(D1343="","-",+C1355+1)</f>
        <v>2022</v>
      </c>
      <c r="D1356" s="673">
        <f t="shared" si="85"/>
        <v>1705730.1818181812</v>
      </c>
      <c r="E1356" s="726">
        <f t="shared" si="89"/>
        <v>44887.63636363636</v>
      </c>
      <c r="F1356" s="673">
        <f t="shared" si="84"/>
        <v>1660842.5454545447</v>
      </c>
      <c r="G1356" s="1263">
        <f t="shared" si="86"/>
        <v>303124.87027064996</v>
      </c>
      <c r="H1356" s="1266">
        <f t="shared" si="87"/>
        <v>303124.87027064996</v>
      </c>
      <c r="I1356" s="724">
        <f t="shared" si="88"/>
        <v>0</v>
      </c>
      <c r="J1356" s="724"/>
      <c r="K1356" s="869"/>
      <c r="L1356" s="729"/>
      <c r="M1356" s="869"/>
      <c r="N1356" s="729"/>
      <c r="O1356" s="729"/>
    </row>
    <row r="1357" spans="1:15">
      <c r="C1357" s="720">
        <f>IF(D1343="","-",+C1356+1)</f>
        <v>2023</v>
      </c>
      <c r="D1357" s="673">
        <f t="shared" si="85"/>
        <v>1660842.5454545447</v>
      </c>
      <c r="E1357" s="726">
        <f t="shared" si="89"/>
        <v>44887.63636363636</v>
      </c>
      <c r="F1357" s="673">
        <f t="shared" si="84"/>
        <v>1615954.9090909082</v>
      </c>
      <c r="G1357" s="1263">
        <f t="shared" si="86"/>
        <v>296238.54403312958</v>
      </c>
      <c r="H1357" s="1266">
        <f t="shared" si="87"/>
        <v>296238.54403312958</v>
      </c>
      <c r="I1357" s="724">
        <f t="shared" si="88"/>
        <v>0</v>
      </c>
      <c r="J1357" s="724"/>
      <c r="K1357" s="869"/>
      <c r="L1357" s="729"/>
      <c r="M1357" s="869"/>
      <c r="N1357" s="729"/>
      <c r="O1357" s="729"/>
    </row>
    <row r="1358" spans="1:15">
      <c r="C1358" s="720">
        <f>IF(D1343="","-",+C1357+1)</f>
        <v>2024</v>
      </c>
      <c r="D1358" s="673">
        <f t="shared" si="85"/>
        <v>1615954.9090909082</v>
      </c>
      <c r="E1358" s="726">
        <f t="shared" si="89"/>
        <v>44887.63636363636</v>
      </c>
      <c r="F1358" s="673">
        <f t="shared" si="84"/>
        <v>1571067.2727272718</v>
      </c>
      <c r="G1358" s="1263">
        <f t="shared" si="86"/>
        <v>289352.21779560921</v>
      </c>
      <c r="H1358" s="1266">
        <f t="shared" si="87"/>
        <v>289352.21779560921</v>
      </c>
      <c r="I1358" s="724">
        <f t="shared" si="88"/>
        <v>0</v>
      </c>
      <c r="J1358" s="724"/>
      <c r="K1358" s="869"/>
      <c r="L1358" s="729"/>
      <c r="M1358" s="869"/>
      <c r="N1358" s="729"/>
      <c r="O1358" s="729"/>
    </row>
    <row r="1359" spans="1:15">
      <c r="C1359" s="720">
        <f>IF(D1343="","-",+C1358+1)</f>
        <v>2025</v>
      </c>
      <c r="D1359" s="673">
        <f t="shared" si="85"/>
        <v>1571067.2727272718</v>
      </c>
      <c r="E1359" s="726">
        <f t="shared" si="89"/>
        <v>44887.63636363636</v>
      </c>
      <c r="F1359" s="673">
        <f t="shared" si="84"/>
        <v>1526179.6363636353</v>
      </c>
      <c r="G1359" s="1263">
        <f t="shared" si="86"/>
        <v>282465.89155808883</v>
      </c>
      <c r="H1359" s="1266">
        <f t="shared" si="87"/>
        <v>282465.89155808883</v>
      </c>
      <c r="I1359" s="724">
        <f t="shared" si="88"/>
        <v>0</v>
      </c>
      <c r="J1359" s="724"/>
      <c r="K1359" s="869"/>
      <c r="L1359" s="729"/>
      <c r="M1359" s="869"/>
      <c r="N1359" s="729"/>
      <c r="O1359" s="729"/>
    </row>
    <row r="1360" spans="1:15">
      <c r="C1360" s="720">
        <f>IF(D1343="","-",+C1359+1)</f>
        <v>2026</v>
      </c>
      <c r="D1360" s="673">
        <f t="shared" si="85"/>
        <v>1526179.6363636353</v>
      </c>
      <c r="E1360" s="726">
        <f t="shared" si="89"/>
        <v>44887.63636363636</v>
      </c>
      <c r="F1360" s="673">
        <f t="shared" si="84"/>
        <v>1481291.9999999988</v>
      </c>
      <c r="G1360" s="1263">
        <f t="shared" si="86"/>
        <v>275579.56532056839</v>
      </c>
      <c r="H1360" s="1266">
        <f t="shared" si="87"/>
        <v>275579.56532056839</v>
      </c>
      <c r="I1360" s="724">
        <f t="shared" si="88"/>
        <v>0</v>
      </c>
      <c r="J1360" s="724"/>
      <c r="K1360" s="869"/>
      <c r="L1360" s="729"/>
      <c r="M1360" s="869"/>
      <c r="N1360" s="729"/>
      <c r="O1360" s="729"/>
    </row>
    <row r="1361" spans="3:15">
      <c r="C1361" s="720">
        <f>IF(D1343="","-",+C1360+1)</f>
        <v>2027</v>
      </c>
      <c r="D1361" s="673">
        <f t="shared" si="85"/>
        <v>1481291.9999999988</v>
      </c>
      <c r="E1361" s="726">
        <f t="shared" si="89"/>
        <v>44887.63636363636</v>
      </c>
      <c r="F1361" s="673">
        <f t="shared" si="84"/>
        <v>1436404.3636363624</v>
      </c>
      <c r="G1361" s="1263">
        <f t="shared" si="86"/>
        <v>268693.23908304807</v>
      </c>
      <c r="H1361" s="1266">
        <f t="shared" si="87"/>
        <v>268693.23908304807</v>
      </c>
      <c r="I1361" s="724">
        <f t="shared" si="88"/>
        <v>0</v>
      </c>
      <c r="J1361" s="724"/>
      <c r="K1361" s="869"/>
      <c r="L1361" s="729"/>
      <c r="M1361" s="869"/>
      <c r="N1361" s="729"/>
      <c r="O1361" s="729"/>
    </row>
    <row r="1362" spans="3:15">
      <c r="C1362" s="720">
        <f>IF(D1343="","-",+C1361+1)</f>
        <v>2028</v>
      </c>
      <c r="D1362" s="673">
        <f t="shared" si="85"/>
        <v>1436404.3636363624</v>
      </c>
      <c r="E1362" s="726">
        <f t="shared" si="89"/>
        <v>44887.63636363636</v>
      </c>
      <c r="F1362" s="673">
        <f t="shared" si="84"/>
        <v>1391516.7272727259</v>
      </c>
      <c r="G1362" s="1263">
        <f t="shared" si="86"/>
        <v>261806.91284552764</v>
      </c>
      <c r="H1362" s="1266">
        <f t="shared" si="87"/>
        <v>261806.91284552764</v>
      </c>
      <c r="I1362" s="724">
        <f t="shared" si="88"/>
        <v>0</v>
      </c>
      <c r="J1362" s="724"/>
      <c r="K1362" s="869"/>
      <c r="L1362" s="729"/>
      <c r="M1362" s="869"/>
      <c r="N1362" s="729"/>
      <c r="O1362" s="729"/>
    </row>
    <row r="1363" spans="3:15">
      <c r="C1363" s="720">
        <f>IF(D1343="","-",+C1362+1)</f>
        <v>2029</v>
      </c>
      <c r="D1363" s="673">
        <f t="shared" si="85"/>
        <v>1391516.7272727259</v>
      </c>
      <c r="E1363" s="726">
        <f t="shared" si="89"/>
        <v>44887.63636363636</v>
      </c>
      <c r="F1363" s="673">
        <f t="shared" si="84"/>
        <v>1346629.0909090894</v>
      </c>
      <c r="G1363" s="1263">
        <f t="shared" si="86"/>
        <v>254920.58660800729</v>
      </c>
      <c r="H1363" s="1266">
        <f t="shared" si="87"/>
        <v>254920.58660800729</v>
      </c>
      <c r="I1363" s="724">
        <f t="shared" si="88"/>
        <v>0</v>
      </c>
      <c r="J1363" s="724"/>
      <c r="K1363" s="869"/>
      <c r="L1363" s="729"/>
      <c r="M1363" s="869"/>
      <c r="N1363" s="729"/>
      <c r="O1363" s="729"/>
    </row>
    <row r="1364" spans="3:15">
      <c r="C1364" s="720">
        <f>IF(D1343="","-",+C1363+1)</f>
        <v>2030</v>
      </c>
      <c r="D1364" s="673">
        <f t="shared" si="85"/>
        <v>1346629.0909090894</v>
      </c>
      <c r="E1364" s="726">
        <f t="shared" si="89"/>
        <v>44887.63636363636</v>
      </c>
      <c r="F1364" s="673">
        <f t="shared" si="84"/>
        <v>1301741.454545453</v>
      </c>
      <c r="G1364" s="1263">
        <f t="shared" si="86"/>
        <v>248034.26037048688</v>
      </c>
      <c r="H1364" s="1266">
        <f t="shared" si="87"/>
        <v>248034.26037048688</v>
      </c>
      <c r="I1364" s="724">
        <f t="shared" si="88"/>
        <v>0</v>
      </c>
      <c r="J1364" s="724"/>
      <c r="K1364" s="869"/>
      <c r="L1364" s="729"/>
      <c r="M1364" s="869"/>
      <c r="N1364" s="729"/>
      <c r="O1364" s="729"/>
    </row>
    <row r="1365" spans="3:15">
      <c r="C1365" s="720">
        <f>IF(D1343="","-",+C1364+1)</f>
        <v>2031</v>
      </c>
      <c r="D1365" s="673">
        <f t="shared" si="85"/>
        <v>1301741.454545453</v>
      </c>
      <c r="E1365" s="726">
        <f t="shared" si="89"/>
        <v>44887.63636363636</v>
      </c>
      <c r="F1365" s="673">
        <f t="shared" si="84"/>
        <v>1256853.8181818165</v>
      </c>
      <c r="G1365" s="1263">
        <f t="shared" si="86"/>
        <v>241147.93413296653</v>
      </c>
      <c r="H1365" s="1266">
        <f t="shared" si="87"/>
        <v>241147.93413296653</v>
      </c>
      <c r="I1365" s="724">
        <f t="shared" si="88"/>
        <v>0</v>
      </c>
      <c r="J1365" s="724"/>
      <c r="K1365" s="869"/>
      <c r="L1365" s="729"/>
      <c r="M1365" s="869"/>
      <c r="N1365" s="729"/>
      <c r="O1365" s="729"/>
    </row>
    <row r="1366" spans="3:15">
      <c r="C1366" s="720">
        <f>IF(D1343="","-",+C1365+1)</f>
        <v>2032</v>
      </c>
      <c r="D1366" s="673">
        <f t="shared" si="85"/>
        <v>1256853.8181818165</v>
      </c>
      <c r="E1366" s="726">
        <f t="shared" si="89"/>
        <v>44887.63636363636</v>
      </c>
      <c r="F1366" s="673">
        <f t="shared" si="84"/>
        <v>1211966.18181818</v>
      </c>
      <c r="G1366" s="1263">
        <f t="shared" si="86"/>
        <v>234261.6078954461</v>
      </c>
      <c r="H1366" s="1266">
        <f t="shared" si="87"/>
        <v>234261.6078954461</v>
      </c>
      <c r="I1366" s="724">
        <f t="shared" si="88"/>
        <v>0</v>
      </c>
      <c r="J1366" s="724"/>
      <c r="K1366" s="869"/>
      <c r="L1366" s="729"/>
      <c r="M1366" s="869"/>
      <c r="N1366" s="729"/>
      <c r="O1366" s="729"/>
    </row>
    <row r="1367" spans="3:15">
      <c r="C1367" s="720">
        <f>IF(D1343="","-",+C1366+1)</f>
        <v>2033</v>
      </c>
      <c r="D1367" s="673">
        <f t="shared" si="85"/>
        <v>1211966.18181818</v>
      </c>
      <c r="E1367" s="726">
        <f t="shared" si="89"/>
        <v>44887.63636363636</v>
      </c>
      <c r="F1367" s="673">
        <f t="shared" si="84"/>
        <v>1167078.5454545435</v>
      </c>
      <c r="G1367" s="1263">
        <f t="shared" si="86"/>
        <v>227375.28165792578</v>
      </c>
      <c r="H1367" s="1266">
        <f t="shared" si="87"/>
        <v>227375.28165792578</v>
      </c>
      <c r="I1367" s="724">
        <f t="shared" si="88"/>
        <v>0</v>
      </c>
      <c r="J1367" s="724"/>
      <c r="K1367" s="869"/>
      <c r="L1367" s="729"/>
      <c r="M1367" s="869"/>
      <c r="N1367" s="729"/>
      <c r="O1367" s="729"/>
    </row>
    <row r="1368" spans="3:15">
      <c r="C1368" s="720">
        <f>IF(D1343="","-",+C1367+1)</f>
        <v>2034</v>
      </c>
      <c r="D1368" s="673">
        <f t="shared" si="85"/>
        <v>1167078.5454545435</v>
      </c>
      <c r="E1368" s="726">
        <f t="shared" si="89"/>
        <v>44887.63636363636</v>
      </c>
      <c r="F1368" s="673">
        <f t="shared" si="84"/>
        <v>1122190.9090909071</v>
      </c>
      <c r="G1368" s="1263">
        <f t="shared" si="86"/>
        <v>220488.95542040534</v>
      </c>
      <c r="H1368" s="1266">
        <f t="shared" si="87"/>
        <v>220488.95542040534</v>
      </c>
      <c r="I1368" s="724">
        <f t="shared" si="88"/>
        <v>0</v>
      </c>
      <c r="J1368" s="724"/>
      <c r="K1368" s="869"/>
      <c r="L1368" s="729"/>
      <c r="M1368" s="869"/>
      <c r="N1368" s="729"/>
      <c r="O1368" s="729"/>
    </row>
    <row r="1369" spans="3:15">
      <c r="C1369" s="720">
        <f>IF(D1343="","-",+C1368+1)</f>
        <v>2035</v>
      </c>
      <c r="D1369" s="673">
        <f t="shared" si="85"/>
        <v>1122190.9090909071</v>
      </c>
      <c r="E1369" s="726">
        <f t="shared" si="89"/>
        <v>44887.63636363636</v>
      </c>
      <c r="F1369" s="673">
        <f t="shared" si="84"/>
        <v>1077303.2727272706</v>
      </c>
      <c r="G1369" s="1263">
        <f t="shared" si="86"/>
        <v>213602.62918288499</v>
      </c>
      <c r="H1369" s="1266">
        <f t="shared" si="87"/>
        <v>213602.62918288499</v>
      </c>
      <c r="I1369" s="724">
        <f t="shared" si="88"/>
        <v>0</v>
      </c>
      <c r="J1369" s="724"/>
      <c r="K1369" s="869"/>
      <c r="L1369" s="729"/>
      <c r="M1369" s="869"/>
      <c r="N1369" s="729"/>
      <c r="O1369" s="729"/>
    </row>
    <row r="1370" spans="3:15">
      <c r="C1370" s="720">
        <f>IF(D1343="","-",+C1369+1)</f>
        <v>2036</v>
      </c>
      <c r="D1370" s="673">
        <f t="shared" si="85"/>
        <v>1077303.2727272706</v>
      </c>
      <c r="E1370" s="726">
        <f t="shared" si="89"/>
        <v>44887.63636363636</v>
      </c>
      <c r="F1370" s="673">
        <f t="shared" si="84"/>
        <v>1032415.6363636343</v>
      </c>
      <c r="G1370" s="1263">
        <f t="shared" si="86"/>
        <v>206716.30294536462</v>
      </c>
      <c r="H1370" s="1266">
        <f t="shared" si="87"/>
        <v>206716.30294536462</v>
      </c>
      <c r="I1370" s="724">
        <f t="shared" si="88"/>
        <v>0</v>
      </c>
      <c r="J1370" s="724"/>
      <c r="K1370" s="869"/>
      <c r="L1370" s="729"/>
      <c r="M1370" s="869"/>
      <c r="N1370" s="729"/>
      <c r="O1370" s="729"/>
    </row>
    <row r="1371" spans="3:15">
      <c r="C1371" s="720">
        <f>IF(D1343="","-",+C1370+1)</f>
        <v>2037</v>
      </c>
      <c r="D1371" s="673">
        <f t="shared" si="85"/>
        <v>1032415.6363636343</v>
      </c>
      <c r="E1371" s="726">
        <f t="shared" si="89"/>
        <v>44887.63636363636</v>
      </c>
      <c r="F1371" s="673">
        <f t="shared" si="84"/>
        <v>987527.9999999979</v>
      </c>
      <c r="G1371" s="1263">
        <f t="shared" si="86"/>
        <v>199829.97670784424</v>
      </c>
      <c r="H1371" s="1266">
        <f t="shared" si="87"/>
        <v>199829.97670784424</v>
      </c>
      <c r="I1371" s="724">
        <f t="shared" si="88"/>
        <v>0</v>
      </c>
      <c r="J1371" s="724"/>
      <c r="K1371" s="869"/>
      <c r="L1371" s="729"/>
      <c r="M1371" s="869"/>
      <c r="N1371" s="729"/>
      <c r="O1371" s="729"/>
    </row>
    <row r="1372" spans="3:15">
      <c r="C1372" s="720">
        <f>IF(D1343="","-",+C1371+1)</f>
        <v>2038</v>
      </c>
      <c r="D1372" s="673">
        <f t="shared" si="85"/>
        <v>987527.9999999979</v>
      </c>
      <c r="E1372" s="726">
        <f t="shared" si="89"/>
        <v>44887.63636363636</v>
      </c>
      <c r="F1372" s="673">
        <f t="shared" si="84"/>
        <v>942640.36363636155</v>
      </c>
      <c r="G1372" s="1263">
        <f t="shared" si="86"/>
        <v>192943.65047032389</v>
      </c>
      <c r="H1372" s="1266">
        <f t="shared" si="87"/>
        <v>192943.65047032389</v>
      </c>
      <c r="I1372" s="724">
        <f t="shared" si="88"/>
        <v>0</v>
      </c>
      <c r="J1372" s="724"/>
      <c r="K1372" s="869"/>
      <c r="L1372" s="729"/>
      <c r="M1372" s="869"/>
      <c r="N1372" s="729"/>
      <c r="O1372" s="729"/>
    </row>
    <row r="1373" spans="3:15">
      <c r="C1373" s="720">
        <f>IF(D1343="","-",+C1372+1)</f>
        <v>2039</v>
      </c>
      <c r="D1373" s="673">
        <f t="shared" si="85"/>
        <v>942640.36363636155</v>
      </c>
      <c r="E1373" s="726">
        <f t="shared" si="89"/>
        <v>44887.63636363636</v>
      </c>
      <c r="F1373" s="673">
        <f t="shared" si="84"/>
        <v>897752.7272727252</v>
      </c>
      <c r="G1373" s="1263">
        <f t="shared" si="86"/>
        <v>186057.32423280351</v>
      </c>
      <c r="H1373" s="1266">
        <f t="shared" si="87"/>
        <v>186057.32423280351</v>
      </c>
      <c r="I1373" s="724">
        <f t="shared" si="88"/>
        <v>0</v>
      </c>
      <c r="J1373" s="724"/>
      <c r="K1373" s="869"/>
      <c r="L1373" s="729"/>
      <c r="M1373" s="869"/>
      <c r="N1373" s="729"/>
      <c r="O1373" s="729"/>
    </row>
    <row r="1374" spans="3:15">
      <c r="C1374" s="720">
        <f>IF(D1343="","-",+C1373+1)</f>
        <v>2040</v>
      </c>
      <c r="D1374" s="673">
        <f t="shared" si="85"/>
        <v>897752.7272727252</v>
      </c>
      <c r="E1374" s="726">
        <f t="shared" si="89"/>
        <v>44887.63636363636</v>
      </c>
      <c r="F1374" s="673">
        <f t="shared" si="84"/>
        <v>852865.09090908885</v>
      </c>
      <c r="G1374" s="1263">
        <f t="shared" si="86"/>
        <v>179170.99799528316</v>
      </c>
      <c r="H1374" s="1266">
        <f t="shared" si="87"/>
        <v>179170.99799528316</v>
      </c>
      <c r="I1374" s="724">
        <f t="shared" si="88"/>
        <v>0</v>
      </c>
      <c r="J1374" s="724"/>
      <c r="K1374" s="869"/>
      <c r="L1374" s="729"/>
      <c r="M1374" s="869"/>
      <c r="N1374" s="729"/>
      <c r="O1374" s="729"/>
    </row>
    <row r="1375" spans="3:15">
      <c r="C1375" s="720">
        <f>IF(D1343="","-",+C1374+1)</f>
        <v>2041</v>
      </c>
      <c r="D1375" s="673">
        <f t="shared" si="85"/>
        <v>852865.09090908885</v>
      </c>
      <c r="E1375" s="726">
        <f t="shared" si="89"/>
        <v>44887.63636363636</v>
      </c>
      <c r="F1375" s="673">
        <f t="shared" si="84"/>
        <v>807977.45454545249</v>
      </c>
      <c r="G1375" s="1263">
        <f t="shared" si="86"/>
        <v>172284.67175776279</v>
      </c>
      <c r="H1375" s="1266">
        <f t="shared" si="87"/>
        <v>172284.67175776279</v>
      </c>
      <c r="I1375" s="724">
        <f t="shared" si="88"/>
        <v>0</v>
      </c>
      <c r="J1375" s="724"/>
      <c r="K1375" s="869"/>
      <c r="L1375" s="729"/>
      <c r="M1375" s="869"/>
      <c r="N1375" s="729"/>
      <c r="O1375" s="729"/>
    </row>
    <row r="1376" spans="3:15">
      <c r="C1376" s="720">
        <f>IF(D1343="","-",+C1375+1)</f>
        <v>2042</v>
      </c>
      <c r="D1376" s="673">
        <f t="shared" si="85"/>
        <v>807977.45454545249</v>
      </c>
      <c r="E1376" s="726">
        <f t="shared" si="89"/>
        <v>44887.63636363636</v>
      </c>
      <c r="F1376" s="673">
        <f t="shared" si="84"/>
        <v>763089.81818181614</v>
      </c>
      <c r="G1376" s="1263">
        <f t="shared" si="86"/>
        <v>165398.34552024244</v>
      </c>
      <c r="H1376" s="1266">
        <f t="shared" si="87"/>
        <v>165398.34552024244</v>
      </c>
      <c r="I1376" s="724">
        <f t="shared" si="88"/>
        <v>0</v>
      </c>
      <c r="J1376" s="724"/>
      <c r="K1376" s="869"/>
      <c r="L1376" s="729"/>
      <c r="M1376" s="869"/>
      <c r="N1376" s="729"/>
      <c r="O1376" s="729"/>
    </row>
    <row r="1377" spans="3:15">
      <c r="C1377" s="720">
        <f>IF(D1343="","-",+C1376+1)</f>
        <v>2043</v>
      </c>
      <c r="D1377" s="673">
        <f t="shared" si="85"/>
        <v>763089.81818181614</v>
      </c>
      <c r="E1377" s="726">
        <f t="shared" si="89"/>
        <v>44887.63636363636</v>
      </c>
      <c r="F1377" s="673">
        <f t="shared" si="84"/>
        <v>718202.18181817979</v>
      </c>
      <c r="G1377" s="1264">
        <f t="shared" si="86"/>
        <v>158512.01928272206</v>
      </c>
      <c r="H1377" s="1266">
        <f t="shared" si="87"/>
        <v>158512.01928272206</v>
      </c>
      <c r="I1377" s="724">
        <f t="shared" si="88"/>
        <v>0</v>
      </c>
      <c r="J1377" s="724"/>
      <c r="K1377" s="869"/>
      <c r="L1377" s="729"/>
      <c r="M1377" s="869"/>
      <c r="N1377" s="729"/>
      <c r="O1377" s="729"/>
    </row>
    <row r="1378" spans="3:15">
      <c r="C1378" s="720">
        <f>IF(D1343="","-",+C1377+1)</f>
        <v>2044</v>
      </c>
      <c r="D1378" s="673">
        <f t="shared" si="85"/>
        <v>718202.18181817979</v>
      </c>
      <c r="E1378" s="726">
        <f t="shared" si="89"/>
        <v>44887.63636363636</v>
      </c>
      <c r="F1378" s="673">
        <f t="shared" si="84"/>
        <v>673314.54545454343</v>
      </c>
      <c r="G1378" s="1263">
        <f t="shared" si="86"/>
        <v>151625.69304520171</v>
      </c>
      <c r="H1378" s="1266">
        <f t="shared" si="87"/>
        <v>151625.69304520171</v>
      </c>
      <c r="I1378" s="724">
        <f t="shared" si="88"/>
        <v>0</v>
      </c>
      <c r="J1378" s="724"/>
      <c r="K1378" s="869"/>
      <c r="L1378" s="729"/>
      <c r="M1378" s="869"/>
      <c r="N1378" s="729"/>
      <c r="O1378" s="729"/>
    </row>
    <row r="1379" spans="3:15">
      <c r="C1379" s="720">
        <f>IF(D1343="","-",+C1378+1)</f>
        <v>2045</v>
      </c>
      <c r="D1379" s="673">
        <f t="shared" si="85"/>
        <v>673314.54545454343</v>
      </c>
      <c r="E1379" s="726">
        <f t="shared" si="89"/>
        <v>44887.63636363636</v>
      </c>
      <c r="F1379" s="673">
        <f t="shared" si="84"/>
        <v>628426.90909090708</v>
      </c>
      <c r="G1379" s="1263">
        <f t="shared" si="86"/>
        <v>144739.36680768133</v>
      </c>
      <c r="H1379" s="1266">
        <f t="shared" si="87"/>
        <v>144739.36680768133</v>
      </c>
      <c r="I1379" s="724">
        <f t="shared" si="88"/>
        <v>0</v>
      </c>
      <c r="J1379" s="724"/>
      <c r="K1379" s="869"/>
      <c r="L1379" s="729"/>
      <c r="M1379" s="869"/>
      <c r="N1379" s="729"/>
      <c r="O1379" s="729"/>
    </row>
    <row r="1380" spans="3:15">
      <c r="C1380" s="720">
        <f>IF(D1343="","-",+C1379+1)</f>
        <v>2046</v>
      </c>
      <c r="D1380" s="673">
        <f t="shared" si="85"/>
        <v>628426.90909090708</v>
      </c>
      <c r="E1380" s="726">
        <f t="shared" si="89"/>
        <v>44887.63636363636</v>
      </c>
      <c r="F1380" s="673">
        <f t="shared" si="84"/>
        <v>583539.27272727073</v>
      </c>
      <c r="G1380" s="1263">
        <f t="shared" si="86"/>
        <v>137853.04057016099</v>
      </c>
      <c r="H1380" s="1266">
        <f t="shared" si="87"/>
        <v>137853.04057016099</v>
      </c>
      <c r="I1380" s="724">
        <f t="shared" si="88"/>
        <v>0</v>
      </c>
      <c r="J1380" s="724"/>
      <c r="K1380" s="869"/>
      <c r="L1380" s="729"/>
      <c r="M1380" s="869"/>
      <c r="N1380" s="729"/>
      <c r="O1380" s="729"/>
    </row>
    <row r="1381" spans="3:15">
      <c r="C1381" s="720">
        <f>IF(D1343="","-",+C1380+1)</f>
        <v>2047</v>
      </c>
      <c r="D1381" s="673">
        <f t="shared" si="85"/>
        <v>583539.27272727073</v>
      </c>
      <c r="E1381" s="726">
        <f t="shared" si="89"/>
        <v>44887.63636363636</v>
      </c>
      <c r="F1381" s="673">
        <f t="shared" si="84"/>
        <v>538651.63636363437</v>
      </c>
      <c r="G1381" s="1263">
        <f t="shared" si="86"/>
        <v>130966.71433264061</v>
      </c>
      <c r="H1381" s="1266">
        <f t="shared" si="87"/>
        <v>130966.71433264061</v>
      </c>
      <c r="I1381" s="724">
        <f t="shared" si="88"/>
        <v>0</v>
      </c>
      <c r="J1381" s="724"/>
      <c r="K1381" s="869"/>
      <c r="L1381" s="729"/>
      <c r="M1381" s="869"/>
      <c r="N1381" s="729"/>
      <c r="O1381" s="729"/>
    </row>
    <row r="1382" spans="3:15">
      <c r="C1382" s="720">
        <f>IF(D1343="","-",+C1381+1)</f>
        <v>2048</v>
      </c>
      <c r="D1382" s="673">
        <f t="shared" si="85"/>
        <v>538651.63636363437</v>
      </c>
      <c r="E1382" s="726">
        <f t="shared" si="89"/>
        <v>44887.63636363636</v>
      </c>
      <c r="F1382" s="673">
        <f t="shared" si="84"/>
        <v>493763.99999999802</v>
      </c>
      <c r="G1382" s="1263">
        <f t="shared" si="86"/>
        <v>124080.38809512026</v>
      </c>
      <c r="H1382" s="1266">
        <f t="shared" si="87"/>
        <v>124080.38809512026</v>
      </c>
      <c r="I1382" s="724">
        <f t="shared" si="88"/>
        <v>0</v>
      </c>
      <c r="J1382" s="724"/>
      <c r="K1382" s="869"/>
      <c r="L1382" s="729"/>
      <c r="M1382" s="869"/>
      <c r="N1382" s="729"/>
      <c r="O1382" s="729"/>
    </row>
    <row r="1383" spans="3:15">
      <c r="C1383" s="720">
        <f>IF(D1343="","-",+C1382+1)</f>
        <v>2049</v>
      </c>
      <c r="D1383" s="673">
        <f t="shared" si="85"/>
        <v>493763.99999999802</v>
      </c>
      <c r="E1383" s="726">
        <f t="shared" si="89"/>
        <v>44887.63636363636</v>
      </c>
      <c r="F1383" s="673">
        <f t="shared" si="84"/>
        <v>448876.36363636167</v>
      </c>
      <c r="G1383" s="1263">
        <f t="shared" si="86"/>
        <v>117194.06185759988</v>
      </c>
      <c r="H1383" s="1266">
        <f t="shared" si="87"/>
        <v>117194.06185759988</v>
      </c>
      <c r="I1383" s="724">
        <f t="shared" si="88"/>
        <v>0</v>
      </c>
      <c r="J1383" s="724"/>
      <c r="K1383" s="869"/>
      <c r="L1383" s="729"/>
      <c r="M1383" s="869"/>
      <c r="N1383" s="729"/>
      <c r="O1383" s="729"/>
    </row>
    <row r="1384" spans="3:15">
      <c r="C1384" s="720">
        <f>IF(D1343="","-",+C1383+1)</f>
        <v>2050</v>
      </c>
      <c r="D1384" s="673">
        <f t="shared" si="85"/>
        <v>448876.36363636167</v>
      </c>
      <c r="E1384" s="726">
        <f t="shared" si="89"/>
        <v>44887.63636363636</v>
      </c>
      <c r="F1384" s="673">
        <f t="shared" si="84"/>
        <v>403988.72727272531</v>
      </c>
      <c r="G1384" s="1263">
        <f t="shared" si="86"/>
        <v>110307.73562007953</v>
      </c>
      <c r="H1384" s="1266">
        <f t="shared" si="87"/>
        <v>110307.73562007953</v>
      </c>
      <c r="I1384" s="724">
        <f t="shared" si="88"/>
        <v>0</v>
      </c>
      <c r="J1384" s="724"/>
      <c r="K1384" s="869"/>
      <c r="L1384" s="729"/>
      <c r="M1384" s="869"/>
      <c r="N1384" s="729"/>
      <c r="O1384" s="729"/>
    </row>
    <row r="1385" spans="3:15">
      <c r="C1385" s="720">
        <f>IF(D1343="","-",+C1384+1)</f>
        <v>2051</v>
      </c>
      <c r="D1385" s="673">
        <f t="shared" si="85"/>
        <v>403988.72727272531</v>
      </c>
      <c r="E1385" s="726">
        <f t="shared" si="89"/>
        <v>44887.63636363636</v>
      </c>
      <c r="F1385" s="673">
        <f t="shared" si="84"/>
        <v>359101.09090908896</v>
      </c>
      <c r="G1385" s="1263">
        <f t="shared" si="86"/>
        <v>103421.40938255916</v>
      </c>
      <c r="H1385" s="1266">
        <f t="shared" si="87"/>
        <v>103421.40938255916</v>
      </c>
      <c r="I1385" s="724">
        <f t="shared" si="88"/>
        <v>0</v>
      </c>
      <c r="J1385" s="724"/>
      <c r="K1385" s="869"/>
      <c r="L1385" s="729"/>
      <c r="M1385" s="869"/>
      <c r="N1385" s="729"/>
      <c r="O1385" s="729"/>
    </row>
    <row r="1386" spans="3:15">
      <c r="C1386" s="720">
        <f>IF(D1343="","-",+C1385+1)</f>
        <v>2052</v>
      </c>
      <c r="D1386" s="673">
        <f t="shared" si="85"/>
        <v>359101.09090908896</v>
      </c>
      <c r="E1386" s="726">
        <f t="shared" si="89"/>
        <v>44887.63636363636</v>
      </c>
      <c r="F1386" s="673">
        <f t="shared" si="84"/>
        <v>314213.45454545261</v>
      </c>
      <c r="G1386" s="1263">
        <f t="shared" si="86"/>
        <v>96535.083145038807</v>
      </c>
      <c r="H1386" s="1266">
        <f t="shared" si="87"/>
        <v>96535.083145038807</v>
      </c>
      <c r="I1386" s="724">
        <f t="shared" si="88"/>
        <v>0</v>
      </c>
      <c r="J1386" s="724"/>
      <c r="K1386" s="869"/>
      <c r="L1386" s="729"/>
      <c r="M1386" s="869"/>
      <c r="N1386" s="729"/>
      <c r="O1386" s="729"/>
    </row>
    <row r="1387" spans="3:15">
      <c r="C1387" s="720">
        <f>IF(D1343="","-",+C1386+1)</f>
        <v>2053</v>
      </c>
      <c r="D1387" s="673">
        <f t="shared" si="85"/>
        <v>314213.45454545261</v>
      </c>
      <c r="E1387" s="726">
        <f t="shared" si="89"/>
        <v>44887.63636363636</v>
      </c>
      <c r="F1387" s="673">
        <f t="shared" si="84"/>
        <v>269325.81818181626</v>
      </c>
      <c r="G1387" s="1263">
        <f t="shared" si="86"/>
        <v>89648.756907518429</v>
      </c>
      <c r="H1387" s="1266">
        <f t="shared" si="87"/>
        <v>89648.756907518429</v>
      </c>
      <c r="I1387" s="724">
        <f t="shared" si="88"/>
        <v>0</v>
      </c>
      <c r="J1387" s="724"/>
      <c r="K1387" s="869"/>
      <c r="L1387" s="729"/>
      <c r="M1387" s="869"/>
      <c r="N1387" s="729"/>
      <c r="O1387" s="729"/>
    </row>
    <row r="1388" spans="3:15">
      <c r="C1388" s="720">
        <f>IF(D1343="","-",+C1387+1)</f>
        <v>2054</v>
      </c>
      <c r="D1388" s="673">
        <f t="shared" si="85"/>
        <v>269325.81818181626</v>
      </c>
      <c r="E1388" s="726">
        <f t="shared" si="89"/>
        <v>44887.63636363636</v>
      </c>
      <c r="F1388" s="673">
        <f t="shared" si="84"/>
        <v>224438.1818181799</v>
      </c>
      <c r="G1388" s="1263">
        <f t="shared" si="86"/>
        <v>82762.430669998081</v>
      </c>
      <c r="H1388" s="1266">
        <f t="shared" si="87"/>
        <v>82762.430669998081</v>
      </c>
      <c r="I1388" s="724">
        <f t="shared" si="88"/>
        <v>0</v>
      </c>
      <c r="J1388" s="724"/>
      <c r="K1388" s="869"/>
      <c r="L1388" s="729"/>
      <c r="M1388" s="869"/>
      <c r="N1388" s="729"/>
      <c r="O1388" s="729"/>
    </row>
    <row r="1389" spans="3:15">
      <c r="C1389" s="720">
        <f>IF(D1343="","-",+C1388+1)</f>
        <v>2055</v>
      </c>
      <c r="D1389" s="673">
        <f t="shared" si="85"/>
        <v>224438.1818181799</v>
      </c>
      <c r="E1389" s="726">
        <f t="shared" si="89"/>
        <v>44887.63636363636</v>
      </c>
      <c r="F1389" s="673">
        <f t="shared" si="84"/>
        <v>179550.54545454355</v>
      </c>
      <c r="G1389" s="1263">
        <f t="shared" si="86"/>
        <v>75876.104432477703</v>
      </c>
      <c r="H1389" s="1266">
        <f t="shared" si="87"/>
        <v>75876.104432477703</v>
      </c>
      <c r="I1389" s="724">
        <f t="shared" si="88"/>
        <v>0</v>
      </c>
      <c r="J1389" s="724"/>
      <c r="K1389" s="869"/>
      <c r="L1389" s="729"/>
      <c r="M1389" s="869"/>
      <c r="N1389" s="729"/>
      <c r="O1389" s="729"/>
    </row>
    <row r="1390" spans="3:15">
      <c r="C1390" s="720">
        <f>IF(D1343="","-",+C1389+1)</f>
        <v>2056</v>
      </c>
      <c r="D1390" s="673">
        <f t="shared" si="85"/>
        <v>179550.54545454355</v>
      </c>
      <c r="E1390" s="726">
        <f t="shared" si="89"/>
        <v>44887.63636363636</v>
      </c>
      <c r="F1390" s="673">
        <f t="shared" si="84"/>
        <v>134662.9090909072</v>
      </c>
      <c r="G1390" s="1263">
        <f t="shared" si="86"/>
        <v>68989.778194957355</v>
      </c>
      <c r="H1390" s="1266">
        <f t="shared" si="87"/>
        <v>68989.778194957355</v>
      </c>
      <c r="I1390" s="724">
        <f t="shared" si="88"/>
        <v>0</v>
      </c>
      <c r="J1390" s="724"/>
      <c r="K1390" s="869"/>
      <c r="L1390" s="729"/>
      <c r="M1390" s="869"/>
      <c r="N1390" s="729"/>
      <c r="O1390" s="729"/>
    </row>
    <row r="1391" spans="3:15">
      <c r="C1391" s="720">
        <f>IF(D1343="","-",+C1390+1)</f>
        <v>2057</v>
      </c>
      <c r="D1391" s="673">
        <f t="shared" si="85"/>
        <v>134662.9090909072</v>
      </c>
      <c r="E1391" s="726">
        <f t="shared" si="89"/>
        <v>44887.63636363636</v>
      </c>
      <c r="F1391" s="673">
        <f t="shared" si="84"/>
        <v>89775.272727270843</v>
      </c>
      <c r="G1391" s="1263">
        <f t="shared" si="86"/>
        <v>62103.451957436984</v>
      </c>
      <c r="H1391" s="1266">
        <f t="shared" si="87"/>
        <v>62103.451957436984</v>
      </c>
      <c r="I1391" s="724">
        <f t="shared" si="88"/>
        <v>0</v>
      </c>
      <c r="J1391" s="724"/>
      <c r="K1391" s="869"/>
      <c r="L1391" s="729"/>
      <c r="M1391" s="869"/>
      <c r="N1391" s="729"/>
      <c r="O1391" s="729"/>
    </row>
    <row r="1392" spans="3:15">
      <c r="C1392" s="720">
        <f>IF(D1343="","-",+C1391+1)</f>
        <v>2058</v>
      </c>
      <c r="D1392" s="673">
        <f t="shared" si="85"/>
        <v>89775.272727270843</v>
      </c>
      <c r="E1392" s="726">
        <f t="shared" si="89"/>
        <v>44887.63636363636</v>
      </c>
      <c r="F1392" s="673">
        <f t="shared" si="84"/>
        <v>44887.636363634483</v>
      </c>
      <c r="G1392" s="1263">
        <f t="shared" si="86"/>
        <v>55217.125719916621</v>
      </c>
      <c r="H1392" s="1266">
        <f t="shared" si="87"/>
        <v>55217.125719916621</v>
      </c>
      <c r="I1392" s="724">
        <f t="shared" si="88"/>
        <v>0</v>
      </c>
      <c r="J1392" s="724"/>
      <c r="K1392" s="869"/>
      <c r="L1392" s="729"/>
      <c r="M1392" s="869"/>
      <c r="N1392" s="729"/>
      <c r="O1392" s="729"/>
    </row>
    <row r="1393" spans="3:15">
      <c r="C1393" s="720">
        <f>IF(D1343="","-",+C1392+1)</f>
        <v>2059</v>
      </c>
      <c r="D1393" s="673">
        <f t="shared" si="85"/>
        <v>44887.636363634483</v>
      </c>
      <c r="E1393" s="726">
        <f t="shared" si="89"/>
        <v>44887.636363634483</v>
      </c>
      <c r="F1393" s="673">
        <f t="shared" si="84"/>
        <v>0</v>
      </c>
      <c r="G1393" s="1263">
        <f t="shared" si="86"/>
        <v>48330.799482394519</v>
      </c>
      <c r="H1393" s="1266">
        <f t="shared" si="87"/>
        <v>48330.799482394519</v>
      </c>
      <c r="I1393" s="724">
        <f t="shared" si="88"/>
        <v>0</v>
      </c>
      <c r="J1393" s="724"/>
      <c r="K1393" s="869"/>
      <c r="L1393" s="729"/>
      <c r="M1393" s="869"/>
      <c r="N1393" s="729"/>
      <c r="O1393" s="729"/>
    </row>
    <row r="1394" spans="3:15">
      <c r="C1394" s="720">
        <f>IF(D1343="","-",+C1393+1)</f>
        <v>2060</v>
      </c>
      <c r="D1394" s="673">
        <f t="shared" si="85"/>
        <v>0</v>
      </c>
      <c r="E1394" s="726">
        <f t="shared" si="89"/>
        <v>0</v>
      </c>
      <c r="F1394" s="673">
        <f t="shared" si="84"/>
        <v>0</v>
      </c>
      <c r="G1394" s="1263">
        <f t="shared" si="86"/>
        <v>0</v>
      </c>
      <c r="H1394" s="1266">
        <f t="shared" si="87"/>
        <v>0</v>
      </c>
      <c r="I1394" s="724">
        <f t="shared" si="88"/>
        <v>0</v>
      </c>
      <c r="J1394" s="724"/>
      <c r="K1394" s="869"/>
      <c r="L1394" s="729"/>
      <c r="M1394" s="869"/>
      <c r="N1394" s="729"/>
      <c r="O1394" s="729"/>
    </row>
    <row r="1395" spans="3:15">
      <c r="C1395" s="720">
        <f>IF(D1343="","-",+C1394+1)</f>
        <v>2061</v>
      </c>
      <c r="D1395" s="673">
        <f t="shared" si="85"/>
        <v>0</v>
      </c>
      <c r="E1395" s="726">
        <f t="shared" si="89"/>
        <v>0</v>
      </c>
      <c r="F1395" s="673">
        <f t="shared" si="84"/>
        <v>0</v>
      </c>
      <c r="G1395" s="1263">
        <f t="shared" si="86"/>
        <v>0</v>
      </c>
      <c r="H1395" s="1266">
        <f t="shared" si="87"/>
        <v>0</v>
      </c>
      <c r="I1395" s="724">
        <f t="shared" si="88"/>
        <v>0</v>
      </c>
      <c r="J1395" s="724"/>
      <c r="K1395" s="869"/>
      <c r="L1395" s="729"/>
      <c r="M1395" s="869"/>
      <c r="N1395" s="729"/>
      <c r="O1395" s="729"/>
    </row>
    <row r="1396" spans="3:15">
      <c r="C1396" s="720">
        <f>IF(D1343="","-",+C1395+1)</f>
        <v>2062</v>
      </c>
      <c r="D1396" s="673">
        <f t="shared" si="85"/>
        <v>0</v>
      </c>
      <c r="E1396" s="726">
        <f t="shared" si="89"/>
        <v>0</v>
      </c>
      <c r="F1396" s="673">
        <f t="shared" si="84"/>
        <v>0</v>
      </c>
      <c r="G1396" s="1263">
        <f t="shared" si="86"/>
        <v>0</v>
      </c>
      <c r="H1396" s="1266">
        <f t="shared" si="87"/>
        <v>0</v>
      </c>
      <c r="I1396" s="724">
        <f t="shared" si="88"/>
        <v>0</v>
      </c>
      <c r="J1396" s="724"/>
      <c r="K1396" s="869"/>
      <c r="L1396" s="729"/>
      <c r="M1396" s="869"/>
      <c r="N1396" s="729"/>
      <c r="O1396" s="729"/>
    </row>
    <row r="1397" spans="3:15">
      <c r="C1397" s="720">
        <f>IF(D1343="","-",+C1396+1)</f>
        <v>2063</v>
      </c>
      <c r="D1397" s="673">
        <f t="shared" si="85"/>
        <v>0</v>
      </c>
      <c r="E1397" s="726">
        <f t="shared" si="89"/>
        <v>0</v>
      </c>
      <c r="F1397" s="673">
        <f t="shared" si="84"/>
        <v>0</v>
      </c>
      <c r="G1397" s="1263">
        <f t="shared" si="86"/>
        <v>0</v>
      </c>
      <c r="H1397" s="1266">
        <f t="shared" si="87"/>
        <v>0</v>
      </c>
      <c r="I1397" s="724">
        <f t="shared" si="88"/>
        <v>0</v>
      </c>
      <c r="J1397" s="724"/>
      <c r="K1397" s="869"/>
      <c r="L1397" s="729"/>
      <c r="M1397" s="869"/>
      <c r="N1397" s="729"/>
      <c r="O1397" s="729"/>
    </row>
    <row r="1398" spans="3:15">
      <c r="C1398" s="720">
        <f>IF(D1343="","-",+C1397+1)</f>
        <v>2064</v>
      </c>
      <c r="D1398" s="673">
        <f t="shared" si="85"/>
        <v>0</v>
      </c>
      <c r="E1398" s="726">
        <f t="shared" si="89"/>
        <v>0</v>
      </c>
      <c r="F1398" s="673">
        <f t="shared" si="84"/>
        <v>0</v>
      </c>
      <c r="G1398" s="1263">
        <f t="shared" si="86"/>
        <v>0</v>
      </c>
      <c r="H1398" s="1266">
        <f t="shared" si="87"/>
        <v>0</v>
      </c>
      <c r="I1398" s="724">
        <f t="shared" si="88"/>
        <v>0</v>
      </c>
      <c r="J1398" s="724"/>
      <c r="K1398" s="869"/>
      <c r="L1398" s="729"/>
      <c r="M1398" s="869"/>
      <c r="N1398" s="729"/>
      <c r="O1398" s="729"/>
    </row>
    <row r="1399" spans="3:15">
      <c r="C1399" s="720">
        <f>IF(D1343="","-",+C1398+1)</f>
        <v>2065</v>
      </c>
      <c r="D1399" s="673">
        <f t="shared" si="85"/>
        <v>0</v>
      </c>
      <c r="E1399" s="726">
        <f t="shared" si="89"/>
        <v>0</v>
      </c>
      <c r="F1399" s="673">
        <f t="shared" si="84"/>
        <v>0</v>
      </c>
      <c r="G1399" s="1263">
        <f t="shared" si="86"/>
        <v>0</v>
      </c>
      <c r="H1399" s="1266">
        <f t="shared" si="87"/>
        <v>0</v>
      </c>
      <c r="I1399" s="724">
        <f t="shared" si="88"/>
        <v>0</v>
      </c>
      <c r="J1399" s="724"/>
      <c r="K1399" s="869"/>
      <c r="L1399" s="729"/>
      <c r="M1399" s="869"/>
      <c r="N1399" s="729"/>
      <c r="O1399" s="729"/>
    </row>
    <row r="1400" spans="3:15">
      <c r="C1400" s="720">
        <f>IF(D1343="","-",+C1399+1)</f>
        <v>2066</v>
      </c>
      <c r="D1400" s="673">
        <f t="shared" si="85"/>
        <v>0</v>
      </c>
      <c r="E1400" s="726">
        <f t="shared" si="89"/>
        <v>0</v>
      </c>
      <c r="F1400" s="673">
        <f t="shared" si="84"/>
        <v>0</v>
      </c>
      <c r="G1400" s="1263">
        <f t="shared" si="86"/>
        <v>0</v>
      </c>
      <c r="H1400" s="1266">
        <f t="shared" si="87"/>
        <v>0</v>
      </c>
      <c r="I1400" s="724">
        <f t="shared" si="88"/>
        <v>0</v>
      </c>
      <c r="J1400" s="724"/>
      <c r="K1400" s="869"/>
      <c r="L1400" s="729"/>
      <c r="M1400" s="869"/>
      <c r="N1400" s="729"/>
      <c r="O1400" s="729"/>
    </row>
    <row r="1401" spans="3:15">
      <c r="C1401" s="720">
        <f>IF(D1343="","-",+C1400+1)</f>
        <v>2067</v>
      </c>
      <c r="D1401" s="673">
        <f t="shared" si="85"/>
        <v>0</v>
      </c>
      <c r="E1401" s="726">
        <f t="shared" si="89"/>
        <v>0</v>
      </c>
      <c r="F1401" s="673">
        <f t="shared" si="84"/>
        <v>0</v>
      </c>
      <c r="G1401" s="1263">
        <f t="shared" si="86"/>
        <v>0</v>
      </c>
      <c r="H1401" s="1266">
        <f t="shared" si="87"/>
        <v>0</v>
      </c>
      <c r="I1401" s="724">
        <f t="shared" si="88"/>
        <v>0</v>
      </c>
      <c r="J1401" s="724"/>
      <c r="K1401" s="869"/>
      <c r="L1401" s="729"/>
      <c r="M1401" s="869"/>
      <c r="N1401" s="729"/>
      <c r="O1401" s="729"/>
    </row>
    <row r="1402" spans="3:15">
      <c r="C1402" s="720">
        <f>IF(D1343="","-",+C1401+1)</f>
        <v>2068</v>
      </c>
      <c r="D1402" s="673">
        <f t="shared" si="85"/>
        <v>0</v>
      </c>
      <c r="E1402" s="726">
        <f t="shared" si="89"/>
        <v>0</v>
      </c>
      <c r="F1402" s="673">
        <f t="shared" si="84"/>
        <v>0</v>
      </c>
      <c r="G1402" s="1263">
        <f t="shared" si="86"/>
        <v>0</v>
      </c>
      <c r="H1402" s="1266">
        <f t="shared" si="87"/>
        <v>0</v>
      </c>
      <c r="I1402" s="724">
        <f t="shared" si="88"/>
        <v>0</v>
      </c>
      <c r="J1402" s="724"/>
      <c r="K1402" s="869"/>
      <c r="L1402" s="729"/>
      <c r="M1402" s="869"/>
      <c r="N1402" s="729"/>
      <c r="O1402" s="729"/>
    </row>
    <row r="1403" spans="3:15">
      <c r="C1403" s="720">
        <f>IF(D1343="","-",+C1402+1)</f>
        <v>2069</v>
      </c>
      <c r="D1403" s="673">
        <f t="shared" si="85"/>
        <v>0</v>
      </c>
      <c r="E1403" s="726">
        <f t="shared" si="89"/>
        <v>0</v>
      </c>
      <c r="F1403" s="673">
        <f t="shared" si="84"/>
        <v>0</v>
      </c>
      <c r="G1403" s="1263">
        <f t="shared" si="86"/>
        <v>0</v>
      </c>
      <c r="H1403" s="1266">
        <f t="shared" si="87"/>
        <v>0</v>
      </c>
      <c r="I1403" s="724">
        <f t="shared" si="88"/>
        <v>0</v>
      </c>
      <c r="J1403" s="724"/>
      <c r="K1403" s="869"/>
      <c r="L1403" s="729"/>
      <c r="M1403" s="869"/>
      <c r="N1403" s="729"/>
      <c r="O1403" s="729"/>
    </row>
    <row r="1404" spans="3:15">
      <c r="C1404" s="720">
        <f>IF(D1343="","-",+C1403+1)</f>
        <v>2070</v>
      </c>
      <c r="D1404" s="673">
        <f t="shared" si="85"/>
        <v>0</v>
      </c>
      <c r="E1404" s="726">
        <f t="shared" si="89"/>
        <v>0</v>
      </c>
      <c r="F1404" s="673">
        <f t="shared" si="84"/>
        <v>0</v>
      </c>
      <c r="G1404" s="1263">
        <f t="shared" si="86"/>
        <v>0</v>
      </c>
      <c r="H1404" s="1266">
        <f t="shared" si="87"/>
        <v>0</v>
      </c>
      <c r="I1404" s="724">
        <f t="shared" si="88"/>
        <v>0</v>
      </c>
      <c r="J1404" s="724"/>
      <c r="K1404" s="869"/>
      <c r="L1404" s="729"/>
      <c r="M1404" s="869"/>
      <c r="N1404" s="729"/>
      <c r="O1404" s="729"/>
    </row>
    <row r="1405" spans="3:15">
      <c r="C1405" s="720">
        <f>IF(D1343="","-",+C1404+1)</f>
        <v>2071</v>
      </c>
      <c r="D1405" s="673">
        <f t="shared" si="85"/>
        <v>0</v>
      </c>
      <c r="E1405" s="726">
        <f t="shared" si="89"/>
        <v>0</v>
      </c>
      <c r="F1405" s="673">
        <f t="shared" si="84"/>
        <v>0</v>
      </c>
      <c r="G1405" s="1263">
        <f t="shared" si="86"/>
        <v>0</v>
      </c>
      <c r="H1405" s="1266">
        <f t="shared" si="87"/>
        <v>0</v>
      </c>
      <c r="I1405" s="724">
        <f t="shared" si="88"/>
        <v>0</v>
      </c>
      <c r="J1405" s="724"/>
      <c r="K1405" s="869"/>
      <c r="L1405" s="729"/>
      <c r="M1405" s="869"/>
      <c r="N1405" s="729"/>
      <c r="O1405" s="729"/>
    </row>
    <row r="1406" spans="3:15">
      <c r="C1406" s="720">
        <f>IF(D1343="","-",+C1405+1)</f>
        <v>2072</v>
      </c>
      <c r="D1406" s="673">
        <f t="shared" si="85"/>
        <v>0</v>
      </c>
      <c r="E1406" s="726">
        <f t="shared" si="89"/>
        <v>0</v>
      </c>
      <c r="F1406" s="673">
        <f t="shared" si="84"/>
        <v>0</v>
      </c>
      <c r="G1406" s="1263">
        <f t="shared" si="86"/>
        <v>0</v>
      </c>
      <c r="H1406" s="1266">
        <f t="shared" si="87"/>
        <v>0</v>
      </c>
      <c r="I1406" s="724">
        <f t="shared" si="88"/>
        <v>0</v>
      </c>
      <c r="J1406" s="724"/>
      <c r="K1406" s="869"/>
      <c r="L1406" s="729"/>
      <c r="M1406" s="869"/>
      <c r="N1406" s="729"/>
      <c r="O1406" s="729"/>
    </row>
    <row r="1407" spans="3:15">
      <c r="C1407" s="720">
        <f>IF(D1343="","-",+C1406+1)</f>
        <v>2073</v>
      </c>
      <c r="D1407" s="673">
        <f t="shared" si="85"/>
        <v>0</v>
      </c>
      <c r="E1407" s="726">
        <f t="shared" si="89"/>
        <v>0</v>
      </c>
      <c r="F1407" s="673">
        <f t="shared" si="84"/>
        <v>0</v>
      </c>
      <c r="G1407" s="1263">
        <f t="shared" si="86"/>
        <v>0</v>
      </c>
      <c r="H1407" s="1266">
        <f t="shared" si="87"/>
        <v>0</v>
      </c>
      <c r="I1407" s="724">
        <f t="shared" si="88"/>
        <v>0</v>
      </c>
      <c r="J1407" s="724"/>
      <c r="K1407" s="869"/>
      <c r="L1407" s="729"/>
      <c r="M1407" s="869"/>
      <c r="N1407" s="729"/>
      <c r="O1407" s="729"/>
    </row>
    <row r="1408" spans="3:15" ht="13.5" thickBot="1">
      <c r="C1408" s="730">
        <f>IF(D1343="","-",+C1407+1)</f>
        <v>2074</v>
      </c>
      <c r="D1408" s="731">
        <f t="shared" si="85"/>
        <v>0</v>
      </c>
      <c r="E1408" s="732">
        <f t="shared" si="89"/>
        <v>0</v>
      </c>
      <c r="F1408" s="731">
        <f t="shared" si="84"/>
        <v>0</v>
      </c>
      <c r="G1408" s="1274">
        <f t="shared" si="86"/>
        <v>0</v>
      </c>
      <c r="H1408" s="1274">
        <f t="shared" si="87"/>
        <v>0</v>
      </c>
      <c r="I1408" s="734">
        <f t="shared" si="88"/>
        <v>0</v>
      </c>
      <c r="J1408" s="724"/>
      <c r="K1408" s="870"/>
      <c r="L1408" s="736"/>
      <c r="M1408" s="870"/>
      <c r="N1408" s="736"/>
      <c r="O1408" s="736"/>
    </row>
    <row r="1409" spans="1:16">
      <c r="C1409" s="673" t="s">
        <v>288</v>
      </c>
      <c r="D1409" s="1242"/>
      <c r="E1409" s="673"/>
      <c r="F1409" s="1242"/>
      <c r="G1409" s="1242">
        <f>SUM(G1349:G1408)</f>
        <v>8944018.1523705944</v>
      </c>
      <c r="H1409" s="1242">
        <f>SUM(H1349:H1408)</f>
        <v>8944018.1523705944</v>
      </c>
      <c r="I1409" s="1242">
        <f>SUM(I1349:I1408)</f>
        <v>0</v>
      </c>
      <c r="J1409" s="1242"/>
      <c r="K1409" s="1242"/>
      <c r="L1409" s="1242"/>
      <c r="M1409" s="1242"/>
      <c r="N1409" s="1242"/>
      <c r="O1409" s="542"/>
    </row>
    <row r="1410" spans="1:16">
      <c r="D1410" s="563"/>
      <c r="E1410" s="542"/>
      <c r="F1410" s="542"/>
      <c r="G1410" s="542"/>
      <c r="H1410" s="1241"/>
      <c r="I1410" s="1241"/>
      <c r="J1410" s="1242"/>
      <c r="K1410" s="1241"/>
      <c r="L1410" s="1241"/>
      <c r="M1410" s="1241"/>
      <c r="N1410" s="1241"/>
      <c r="O1410" s="542"/>
    </row>
    <row r="1411" spans="1:16">
      <c r="C1411" s="542" t="s">
        <v>595</v>
      </c>
      <c r="D1411" s="563"/>
      <c r="E1411" s="542"/>
      <c r="F1411" s="542"/>
      <c r="G1411" s="542"/>
      <c r="H1411" s="1241"/>
      <c r="I1411" s="1241"/>
      <c r="J1411" s="1242"/>
      <c r="K1411" s="1241"/>
      <c r="L1411" s="1241"/>
      <c r="M1411" s="1241"/>
      <c r="N1411" s="1241"/>
      <c r="O1411" s="542"/>
    </row>
    <row r="1412" spans="1:16">
      <c r="C1412" s="542"/>
      <c r="D1412" s="563"/>
      <c r="E1412" s="542"/>
      <c r="F1412" s="542"/>
      <c r="G1412" s="542"/>
      <c r="H1412" s="1241"/>
      <c r="I1412" s="1241"/>
      <c r="J1412" s="1242"/>
      <c r="K1412" s="1241"/>
      <c r="L1412" s="1241"/>
      <c r="M1412" s="1241"/>
      <c r="N1412" s="1241"/>
      <c r="O1412" s="542"/>
    </row>
    <row r="1413" spans="1:16">
      <c r="C1413" s="684" t="s">
        <v>934</v>
      </c>
      <c r="D1413" s="673"/>
      <c r="E1413" s="673"/>
      <c r="F1413" s="673"/>
      <c r="G1413" s="1242"/>
      <c r="H1413" s="1242"/>
      <c r="I1413" s="674"/>
      <c r="J1413" s="674"/>
      <c r="K1413" s="674"/>
      <c r="L1413" s="674"/>
      <c r="M1413" s="674"/>
      <c r="N1413" s="674"/>
      <c r="O1413" s="542"/>
    </row>
    <row r="1414" spans="1:16">
      <c r="C1414" s="684" t="s">
        <v>476</v>
      </c>
      <c r="D1414" s="673"/>
      <c r="E1414" s="673"/>
      <c r="F1414" s="673"/>
      <c r="G1414" s="1242"/>
      <c r="H1414" s="1242"/>
      <c r="I1414" s="674"/>
      <c r="J1414" s="674"/>
      <c r="K1414" s="674"/>
      <c r="L1414" s="674"/>
      <c r="M1414" s="674"/>
      <c r="N1414" s="674"/>
      <c r="O1414" s="542"/>
    </row>
    <row r="1415" spans="1:16">
      <c r="C1415" s="672" t="s">
        <v>289</v>
      </c>
      <c r="D1415" s="673"/>
      <c r="E1415" s="673"/>
      <c r="F1415" s="673"/>
      <c r="G1415" s="1242"/>
      <c r="H1415" s="1242"/>
      <c r="I1415" s="674"/>
      <c r="J1415" s="674"/>
      <c r="K1415" s="674"/>
      <c r="L1415" s="674"/>
      <c r="M1415" s="674"/>
      <c r="N1415" s="674"/>
      <c r="O1415" s="542"/>
    </row>
    <row r="1416" spans="1:16">
      <c r="C1416" s="672"/>
      <c r="D1416" s="673"/>
      <c r="E1416" s="673"/>
      <c r="F1416" s="673"/>
      <c r="G1416" s="1242"/>
      <c r="H1416" s="1242"/>
      <c r="I1416" s="674"/>
      <c r="J1416" s="674"/>
      <c r="K1416" s="674"/>
      <c r="L1416" s="674"/>
      <c r="M1416" s="674"/>
      <c r="N1416" s="674"/>
      <c r="O1416" s="542"/>
    </row>
    <row r="1417" spans="1:16">
      <c r="C1417" s="1701" t="s">
        <v>460</v>
      </c>
      <c r="D1417" s="1701"/>
      <c r="E1417" s="1701"/>
      <c r="F1417" s="1701"/>
      <c r="G1417" s="1701"/>
      <c r="H1417" s="1701"/>
      <c r="I1417" s="1701"/>
      <c r="J1417" s="1701"/>
      <c r="K1417" s="1701"/>
      <c r="L1417" s="1701"/>
      <c r="M1417" s="1701"/>
      <c r="N1417" s="1701"/>
      <c r="O1417" s="1701"/>
    </row>
    <row r="1418" spans="1:16">
      <c r="C1418" s="1701"/>
      <c r="D1418" s="1701"/>
      <c r="E1418" s="1701"/>
      <c r="F1418" s="1701"/>
      <c r="G1418" s="1701"/>
      <c r="H1418" s="1701"/>
      <c r="I1418" s="1701"/>
      <c r="J1418" s="1701"/>
      <c r="K1418" s="1701"/>
      <c r="L1418" s="1701"/>
      <c r="M1418" s="1701"/>
      <c r="N1418" s="1701"/>
      <c r="O1418" s="1701"/>
    </row>
    <row r="1419" spans="1:16" ht="20.25">
      <c r="A1419" s="675" t="s">
        <v>931</v>
      </c>
      <c r="B1419" s="576"/>
      <c r="C1419" s="655"/>
      <c r="D1419" s="563"/>
      <c r="E1419" s="542"/>
      <c r="F1419" s="645"/>
      <c r="G1419" s="542"/>
      <c r="H1419" s="1241"/>
      <c r="K1419" s="676"/>
      <c r="L1419" s="676"/>
      <c r="M1419" s="676"/>
      <c r="N1419" s="591" t="str">
        <f>"Page "&amp;SUM(P$6:P1419)&amp;" of "</f>
        <v xml:space="preserve">Page 16 of </v>
      </c>
      <c r="O1419" s="592">
        <f>COUNT(P$6:P$59579)</f>
        <v>22</v>
      </c>
      <c r="P1419" s="542">
        <v>1</v>
      </c>
    </row>
    <row r="1420" spans="1:16">
      <c r="B1420" s="576"/>
      <c r="C1420" s="542"/>
      <c r="D1420" s="563"/>
      <c r="E1420" s="542"/>
      <c r="F1420" s="542"/>
      <c r="G1420" s="542"/>
      <c r="H1420" s="1241"/>
      <c r="I1420" s="542"/>
      <c r="J1420" s="588"/>
      <c r="K1420" s="542"/>
      <c r="L1420" s="542"/>
      <c r="M1420" s="542"/>
      <c r="N1420" s="542"/>
      <c r="O1420" s="542"/>
    </row>
    <row r="1421" spans="1:16" ht="18">
      <c r="B1421" s="595" t="s">
        <v>174</v>
      </c>
      <c r="C1421" s="677" t="s">
        <v>290</v>
      </c>
      <c r="D1421" s="563"/>
      <c r="E1421" s="542"/>
      <c r="F1421" s="542"/>
      <c r="G1421" s="542"/>
      <c r="H1421" s="1241"/>
      <c r="I1421" s="1241"/>
      <c r="J1421" s="1242"/>
      <c r="K1421" s="1241"/>
      <c r="L1421" s="1241"/>
      <c r="M1421" s="1241"/>
      <c r="N1421" s="1241"/>
      <c r="O1421" s="542"/>
    </row>
    <row r="1422" spans="1:16" ht="18.75">
      <c r="B1422" s="595"/>
      <c r="C1422" s="594"/>
      <c r="D1422" s="563"/>
      <c r="E1422" s="542"/>
      <c r="F1422" s="542"/>
      <c r="G1422" s="542"/>
      <c r="H1422" s="1241"/>
      <c r="I1422" s="1241"/>
      <c r="J1422" s="1242"/>
      <c r="K1422" s="1241"/>
      <c r="L1422" s="1241"/>
      <c r="M1422" s="1241"/>
      <c r="N1422" s="1241"/>
      <c r="O1422" s="542"/>
    </row>
    <row r="1423" spans="1:16" ht="18.75">
      <c r="B1423" s="595"/>
      <c r="C1423" s="594" t="s">
        <v>291</v>
      </c>
      <c r="D1423" s="563"/>
      <c r="E1423" s="542"/>
      <c r="F1423" s="542"/>
      <c r="G1423" s="542"/>
      <c r="H1423" s="1241"/>
      <c r="I1423" s="1241"/>
      <c r="J1423" s="1242"/>
      <c r="K1423" s="1241"/>
      <c r="L1423" s="1241"/>
      <c r="M1423" s="1241"/>
      <c r="N1423" s="1241"/>
      <c r="O1423" s="542"/>
    </row>
    <row r="1424" spans="1:16" ht="15.75" thickBot="1">
      <c r="C1424" s="396"/>
      <c r="D1424" s="563"/>
      <c r="E1424" s="542"/>
      <c r="F1424" s="542"/>
      <c r="G1424" s="542"/>
      <c r="H1424" s="1241"/>
      <c r="I1424" s="1241"/>
      <c r="J1424" s="1242"/>
      <c r="K1424" s="1241"/>
      <c r="L1424" s="1241"/>
      <c r="M1424" s="1241"/>
      <c r="N1424" s="1241"/>
      <c r="O1424" s="542"/>
    </row>
    <row r="1425" spans="1:15" ht="15.75">
      <c r="C1425" s="596" t="s">
        <v>292</v>
      </c>
      <c r="D1425" s="563"/>
      <c r="E1425" s="542"/>
      <c r="F1425" s="542"/>
      <c r="G1425" s="1276"/>
      <c r="H1425" s="542" t="s">
        <v>271</v>
      </c>
      <c r="I1425" s="542"/>
      <c r="J1425" s="588"/>
      <c r="K1425" s="678" t="s">
        <v>296</v>
      </c>
      <c r="L1425" s="679"/>
      <c r="M1425" s="680"/>
      <c r="N1425" s="1244">
        <f>VLOOKUP(I1431,C1438:O1497,5)</f>
        <v>0</v>
      </c>
      <c r="O1425" s="542"/>
    </row>
    <row r="1426" spans="1:15" ht="15.75">
      <c r="C1426" s="596"/>
      <c r="D1426" s="563"/>
      <c r="E1426" s="542"/>
      <c r="F1426" s="542"/>
      <c r="G1426" s="542"/>
      <c r="H1426" s="1245"/>
      <c r="I1426" s="1245"/>
      <c r="J1426" s="1246"/>
      <c r="K1426" s="683" t="s">
        <v>297</v>
      </c>
      <c r="L1426" s="1247"/>
      <c r="M1426" s="588"/>
      <c r="N1426" s="1248">
        <f>VLOOKUP(I1431,C1438:O1497,6)</f>
        <v>0</v>
      </c>
      <c r="O1426" s="542"/>
    </row>
    <row r="1427" spans="1:15" ht="15.75" thickBot="1">
      <c r="C1427" s="684" t="s">
        <v>293</v>
      </c>
      <c r="D1427" s="1704" t="s">
        <v>949</v>
      </c>
      <c r="E1427" s="1704"/>
      <c r="F1427" s="1704"/>
      <c r="G1427" s="1704"/>
      <c r="H1427" s="1245"/>
      <c r="I1427" s="1245"/>
      <c r="J1427" s="1242"/>
      <c r="K1427" s="1249" t="s">
        <v>450</v>
      </c>
      <c r="L1427" s="1250"/>
      <c r="M1427" s="1250"/>
      <c r="N1427" s="1251">
        <f>+N1426-N1425</f>
        <v>0</v>
      </c>
      <c r="O1427" s="542"/>
    </row>
    <row r="1428" spans="1:15">
      <c r="C1428" s="686"/>
      <c r="D1428" s="687"/>
      <c r="E1428" s="671"/>
      <c r="F1428" s="671"/>
      <c r="G1428" s="688"/>
      <c r="H1428" s="1241"/>
      <c r="I1428" s="1241"/>
      <c r="J1428" s="1242"/>
      <c r="K1428" s="1241"/>
      <c r="L1428" s="1241"/>
      <c r="M1428" s="1241"/>
      <c r="N1428" s="1241"/>
      <c r="O1428" s="542"/>
    </row>
    <row r="1429" spans="1:15" ht="13.5" thickBot="1">
      <c r="C1429" s="689"/>
      <c r="D1429" s="1252"/>
      <c r="E1429" s="688"/>
      <c r="F1429" s="688"/>
      <c r="G1429" s="688"/>
      <c r="H1429" s="688"/>
      <c r="I1429" s="688"/>
      <c r="J1429" s="691"/>
      <c r="K1429" s="688"/>
      <c r="L1429" s="688"/>
      <c r="M1429" s="688"/>
      <c r="N1429" s="688"/>
      <c r="O1429" s="576"/>
    </row>
    <row r="1430" spans="1:15" ht="13.5" thickBot="1">
      <c r="C1430" s="692" t="s">
        <v>294</v>
      </c>
      <c r="D1430" s="693"/>
      <c r="E1430" s="693"/>
      <c r="F1430" s="693"/>
      <c r="G1430" s="693"/>
      <c r="H1430" s="693"/>
      <c r="I1430" s="694"/>
      <c r="J1430" s="695"/>
      <c r="K1430" s="542"/>
      <c r="L1430" s="542"/>
      <c r="M1430" s="542"/>
      <c r="N1430" s="542"/>
      <c r="O1430" s="696"/>
    </row>
    <row r="1431" spans="1:15" ht="15">
      <c r="C1431" s="697" t="s">
        <v>272</v>
      </c>
      <c r="D1431" s="1253">
        <v>0</v>
      </c>
      <c r="E1431" s="655" t="s">
        <v>273</v>
      </c>
      <c r="G1431" s="698"/>
      <c r="H1431" s="698"/>
      <c r="I1431" s="699">
        <v>2018</v>
      </c>
      <c r="J1431" s="586"/>
      <c r="K1431" s="1702" t="s">
        <v>459</v>
      </c>
      <c r="L1431" s="1702"/>
      <c r="M1431" s="1702"/>
      <c r="N1431" s="1702"/>
      <c r="O1431" s="1702"/>
    </row>
    <row r="1432" spans="1:15">
      <c r="C1432" s="697" t="s">
        <v>275</v>
      </c>
      <c r="D1432" s="1253">
        <v>2015</v>
      </c>
      <c r="E1432" s="697" t="s">
        <v>276</v>
      </c>
      <c r="F1432" s="698"/>
      <c r="H1432" s="330"/>
      <c r="I1432" s="1254">
        <f>IF(G1425="",0,$F$15)</f>
        <v>0</v>
      </c>
      <c r="J1432" s="700"/>
      <c r="K1432" s="1242" t="s">
        <v>459</v>
      </c>
    </row>
    <row r="1433" spans="1:15">
      <c r="C1433" s="697" t="s">
        <v>277</v>
      </c>
      <c r="D1433" s="1253">
        <v>12</v>
      </c>
      <c r="E1433" s="697" t="s">
        <v>278</v>
      </c>
      <c r="F1433" s="698"/>
      <c r="H1433" s="330"/>
      <c r="I1433" s="701">
        <f>$G$70</f>
        <v>0.15341253840442806</v>
      </c>
      <c r="J1433" s="702"/>
      <c r="K1433" s="330" t="str">
        <f>"          INPUT PROJECTED ARR (WITH &amp; WITHOUT INCENTIVES) FROM EACH PRIOR YEAR"</f>
        <v xml:space="preserve">          INPUT PROJECTED ARR (WITH &amp; WITHOUT INCENTIVES) FROM EACH PRIOR YEAR</v>
      </c>
    </row>
    <row r="1434" spans="1:15">
      <c r="C1434" s="697" t="s">
        <v>279</v>
      </c>
      <c r="D1434" s="1287">
        <f>G$79</f>
        <v>44</v>
      </c>
      <c r="E1434" s="697" t="s">
        <v>280</v>
      </c>
      <c r="F1434" s="698"/>
      <c r="H1434" s="330"/>
      <c r="I1434" s="701">
        <f>IF(G1425="",I1433,$G$67)</f>
        <v>0.15341253840442806</v>
      </c>
      <c r="J1434" s="704"/>
      <c r="K1434" s="330" t="s">
        <v>357</v>
      </c>
    </row>
    <row r="1435" spans="1:15" ht="13.5" thickBot="1">
      <c r="C1435" s="697" t="s">
        <v>281</v>
      </c>
      <c r="D1435" s="866" t="s">
        <v>933</v>
      </c>
      <c r="E1435" s="705" t="s">
        <v>282</v>
      </c>
      <c r="F1435" s="706"/>
      <c r="G1435" s="707"/>
      <c r="H1435" s="707"/>
      <c r="I1435" s="1251">
        <f>IF(D1431=0,0,D1431/D1434)</f>
        <v>0</v>
      </c>
      <c r="J1435" s="1242"/>
      <c r="K1435" s="1242" t="s">
        <v>363</v>
      </c>
      <c r="L1435" s="1242"/>
      <c r="M1435" s="1242"/>
      <c r="N1435" s="1242"/>
      <c r="O1435" s="588"/>
    </row>
    <row r="1436" spans="1:15" ht="51">
      <c r="A1436" s="529"/>
      <c r="B1436" s="1255"/>
      <c r="C1436" s="708" t="s">
        <v>272</v>
      </c>
      <c r="D1436" s="1256" t="s">
        <v>283</v>
      </c>
      <c r="E1436" s="1257" t="s">
        <v>284</v>
      </c>
      <c r="F1436" s="1256" t="s">
        <v>285</v>
      </c>
      <c r="G1436" s="1257" t="s">
        <v>356</v>
      </c>
      <c r="H1436" s="1258" t="s">
        <v>356</v>
      </c>
      <c r="I1436" s="708" t="s">
        <v>295</v>
      </c>
      <c r="J1436" s="712"/>
      <c r="K1436" s="1257" t="s">
        <v>365</v>
      </c>
      <c r="L1436" s="1259"/>
      <c r="M1436" s="1257" t="s">
        <v>365</v>
      </c>
      <c r="N1436" s="1259"/>
      <c r="O1436" s="1259"/>
    </row>
    <row r="1437" spans="1:15" ht="13.5" thickBot="1">
      <c r="C1437" s="714" t="s">
        <v>177</v>
      </c>
      <c r="D1437" s="715" t="s">
        <v>178</v>
      </c>
      <c r="E1437" s="714" t="s">
        <v>37</v>
      </c>
      <c r="F1437" s="715" t="s">
        <v>178</v>
      </c>
      <c r="G1437" s="1260" t="s">
        <v>298</v>
      </c>
      <c r="H1437" s="1261" t="s">
        <v>300</v>
      </c>
      <c r="I1437" s="718" t="s">
        <v>389</v>
      </c>
      <c r="J1437" s="719"/>
      <c r="K1437" s="1260" t="s">
        <v>287</v>
      </c>
      <c r="L1437" s="1262"/>
      <c r="M1437" s="1260" t="s">
        <v>300</v>
      </c>
      <c r="N1437" s="1262"/>
      <c r="O1437" s="1262"/>
    </row>
    <row r="1438" spans="1:15">
      <c r="C1438" s="720">
        <f>IF(D1432= "","-",D1432)</f>
        <v>2015</v>
      </c>
      <c r="D1438" s="673">
        <f>+D1431</f>
        <v>0</v>
      </c>
      <c r="E1438" s="1263">
        <f>+I1435/12*(12-D1433)</f>
        <v>0</v>
      </c>
      <c r="F1438" s="673">
        <f t="shared" ref="F1438:F1497" si="90">+D1438-E1438</f>
        <v>0</v>
      </c>
      <c r="G1438" s="1264">
        <f>+$I$1433*((D1438+F1438)/2)+E1438</f>
        <v>0</v>
      </c>
      <c r="H1438" s="1265">
        <f>$I$1434*((D1438+F1438)/2)+E1438</f>
        <v>0</v>
      </c>
      <c r="I1438" s="724">
        <f>+H1438-G1438</f>
        <v>0</v>
      </c>
      <c r="J1438" s="724"/>
      <c r="K1438" s="868">
        <v>63382</v>
      </c>
      <c r="L1438" s="725"/>
      <c r="M1438" s="868">
        <v>63382</v>
      </c>
      <c r="N1438" s="725"/>
      <c r="O1438" s="725"/>
    </row>
    <row r="1439" spans="1:15">
      <c r="C1439" s="720">
        <f>IF(D1432="","-",+C1438+1)</f>
        <v>2016</v>
      </c>
      <c r="D1439" s="673">
        <f t="shared" ref="D1439:D1497" si="91">F1438</f>
        <v>0</v>
      </c>
      <c r="E1439" s="726">
        <f>IF(D1439&gt;$I$1435,$I$1435,D1439)</f>
        <v>0</v>
      </c>
      <c r="F1439" s="673">
        <f t="shared" si="90"/>
        <v>0</v>
      </c>
      <c r="G1439" s="1263">
        <f t="shared" ref="G1439:G1497" si="92">+$I$1433*((D1439+F1439)/2)+E1439</f>
        <v>0</v>
      </c>
      <c r="H1439" s="1266">
        <f t="shared" ref="H1439:H1497" si="93">$I$1434*((D1439+F1439)/2)+E1439</f>
        <v>0</v>
      </c>
      <c r="I1439" s="724">
        <f t="shared" ref="I1439:I1497" si="94">+H1439-G1439</f>
        <v>0</v>
      </c>
      <c r="J1439" s="724"/>
      <c r="K1439" s="869">
        <v>0</v>
      </c>
      <c r="L1439" s="729"/>
      <c r="M1439" s="869">
        <v>0</v>
      </c>
      <c r="N1439" s="729"/>
      <c r="O1439" s="729"/>
    </row>
    <row r="1440" spans="1:15">
      <c r="C1440" s="720">
        <f>IF(D1432="","-",+C1439+1)</f>
        <v>2017</v>
      </c>
      <c r="D1440" s="673">
        <f t="shared" si="91"/>
        <v>0</v>
      </c>
      <c r="E1440" s="726">
        <f t="shared" ref="E1440:E1497" si="95">IF(D1440&gt;$I$1435,$I$1435,D1440)</f>
        <v>0</v>
      </c>
      <c r="F1440" s="673">
        <f t="shared" si="90"/>
        <v>0</v>
      </c>
      <c r="G1440" s="1263">
        <f t="shared" si="92"/>
        <v>0</v>
      </c>
      <c r="H1440" s="1266">
        <f t="shared" si="93"/>
        <v>0</v>
      </c>
      <c r="I1440" s="724">
        <f t="shared" si="94"/>
        <v>0</v>
      </c>
      <c r="J1440" s="724"/>
      <c r="K1440" s="869">
        <v>28232</v>
      </c>
      <c r="L1440" s="729"/>
      <c r="M1440" s="869">
        <v>28232</v>
      </c>
      <c r="N1440" s="729"/>
      <c r="O1440" s="729"/>
    </row>
    <row r="1441" spans="3:15">
      <c r="C1441" s="1268">
        <f>IF(D1432="","-",+C1440+1)</f>
        <v>2018</v>
      </c>
      <c r="D1441" s="1269">
        <f t="shared" si="91"/>
        <v>0</v>
      </c>
      <c r="E1441" s="1270">
        <f t="shared" si="95"/>
        <v>0</v>
      </c>
      <c r="F1441" s="1269">
        <f t="shared" si="90"/>
        <v>0</v>
      </c>
      <c r="G1441" s="1271">
        <f t="shared" si="92"/>
        <v>0</v>
      </c>
      <c r="H1441" s="1272">
        <f t="shared" si="93"/>
        <v>0</v>
      </c>
      <c r="I1441" s="1273">
        <f t="shared" si="94"/>
        <v>0</v>
      </c>
      <c r="J1441" s="724"/>
      <c r="K1441" s="869"/>
      <c r="L1441" s="729"/>
      <c r="M1441" s="869"/>
      <c r="N1441" s="729"/>
      <c r="O1441" s="729"/>
    </row>
    <row r="1442" spans="3:15">
      <c r="C1442" s="720">
        <f>IF(D1432="","-",+C1441+1)</f>
        <v>2019</v>
      </c>
      <c r="D1442" s="673">
        <f t="shared" si="91"/>
        <v>0</v>
      </c>
      <c r="E1442" s="726">
        <f t="shared" si="95"/>
        <v>0</v>
      </c>
      <c r="F1442" s="673">
        <f t="shared" si="90"/>
        <v>0</v>
      </c>
      <c r="G1442" s="1263">
        <f t="shared" si="92"/>
        <v>0</v>
      </c>
      <c r="H1442" s="1266">
        <f t="shared" si="93"/>
        <v>0</v>
      </c>
      <c r="I1442" s="724">
        <f t="shared" si="94"/>
        <v>0</v>
      </c>
      <c r="J1442" s="724"/>
      <c r="K1442" s="869"/>
      <c r="L1442" s="729"/>
      <c r="M1442" s="869"/>
      <c r="N1442" s="729"/>
      <c r="O1442" s="729"/>
    </row>
    <row r="1443" spans="3:15">
      <c r="C1443" s="720">
        <f>IF(D1432="","-",+C1442+1)</f>
        <v>2020</v>
      </c>
      <c r="D1443" s="673">
        <f t="shared" si="91"/>
        <v>0</v>
      </c>
      <c r="E1443" s="726">
        <f t="shared" si="95"/>
        <v>0</v>
      </c>
      <c r="F1443" s="673">
        <f t="shared" si="90"/>
        <v>0</v>
      </c>
      <c r="G1443" s="1263">
        <f t="shared" si="92"/>
        <v>0</v>
      </c>
      <c r="H1443" s="1266">
        <f t="shared" si="93"/>
        <v>0</v>
      </c>
      <c r="I1443" s="724">
        <f t="shared" si="94"/>
        <v>0</v>
      </c>
      <c r="J1443" s="724"/>
      <c r="K1443" s="869"/>
      <c r="L1443" s="729"/>
      <c r="M1443" s="869"/>
      <c r="N1443" s="729"/>
      <c r="O1443" s="729"/>
    </row>
    <row r="1444" spans="3:15">
      <c r="C1444" s="720">
        <f>IF(D1432="","-",+C1443+1)</f>
        <v>2021</v>
      </c>
      <c r="D1444" s="673">
        <f t="shared" si="91"/>
        <v>0</v>
      </c>
      <c r="E1444" s="726">
        <f t="shared" si="95"/>
        <v>0</v>
      </c>
      <c r="F1444" s="673">
        <f t="shared" si="90"/>
        <v>0</v>
      </c>
      <c r="G1444" s="1263">
        <f t="shared" si="92"/>
        <v>0</v>
      </c>
      <c r="H1444" s="1266">
        <f t="shared" si="93"/>
        <v>0</v>
      </c>
      <c r="I1444" s="724">
        <f t="shared" si="94"/>
        <v>0</v>
      </c>
      <c r="J1444" s="724"/>
      <c r="K1444" s="869"/>
      <c r="L1444" s="729"/>
      <c r="M1444" s="869"/>
      <c r="N1444" s="729"/>
      <c r="O1444" s="729"/>
    </row>
    <row r="1445" spans="3:15">
      <c r="C1445" s="720">
        <f>IF(D1432="","-",+C1444+1)</f>
        <v>2022</v>
      </c>
      <c r="D1445" s="673">
        <f t="shared" si="91"/>
        <v>0</v>
      </c>
      <c r="E1445" s="726">
        <f t="shared" si="95"/>
        <v>0</v>
      </c>
      <c r="F1445" s="673">
        <f t="shared" si="90"/>
        <v>0</v>
      </c>
      <c r="G1445" s="1263">
        <f t="shared" si="92"/>
        <v>0</v>
      </c>
      <c r="H1445" s="1266">
        <f t="shared" si="93"/>
        <v>0</v>
      </c>
      <c r="I1445" s="724">
        <f t="shared" si="94"/>
        <v>0</v>
      </c>
      <c r="J1445" s="724"/>
      <c r="K1445" s="869"/>
      <c r="L1445" s="729"/>
      <c r="M1445" s="869"/>
      <c r="N1445" s="729"/>
      <c r="O1445" s="729"/>
    </row>
    <row r="1446" spans="3:15">
      <c r="C1446" s="720">
        <f>IF(D1432="","-",+C1445+1)</f>
        <v>2023</v>
      </c>
      <c r="D1446" s="673">
        <f t="shared" si="91"/>
        <v>0</v>
      </c>
      <c r="E1446" s="726">
        <f t="shared" si="95"/>
        <v>0</v>
      </c>
      <c r="F1446" s="673">
        <f t="shared" si="90"/>
        <v>0</v>
      </c>
      <c r="G1446" s="1263">
        <f t="shared" si="92"/>
        <v>0</v>
      </c>
      <c r="H1446" s="1266">
        <f t="shared" si="93"/>
        <v>0</v>
      </c>
      <c r="I1446" s="724">
        <f t="shared" si="94"/>
        <v>0</v>
      </c>
      <c r="J1446" s="724"/>
      <c r="K1446" s="869"/>
      <c r="L1446" s="729"/>
      <c r="M1446" s="869"/>
      <c r="N1446" s="729"/>
      <c r="O1446" s="729"/>
    </row>
    <row r="1447" spans="3:15">
      <c r="C1447" s="720">
        <f>IF(D1432="","-",+C1446+1)</f>
        <v>2024</v>
      </c>
      <c r="D1447" s="673">
        <f t="shared" si="91"/>
        <v>0</v>
      </c>
      <c r="E1447" s="726">
        <f t="shared" si="95"/>
        <v>0</v>
      </c>
      <c r="F1447" s="673">
        <f t="shared" si="90"/>
        <v>0</v>
      </c>
      <c r="G1447" s="1263">
        <f t="shared" si="92"/>
        <v>0</v>
      </c>
      <c r="H1447" s="1266">
        <f t="shared" si="93"/>
        <v>0</v>
      </c>
      <c r="I1447" s="724">
        <f t="shared" si="94"/>
        <v>0</v>
      </c>
      <c r="J1447" s="724"/>
      <c r="K1447" s="869"/>
      <c r="L1447" s="729"/>
      <c r="M1447" s="869"/>
      <c r="N1447" s="729"/>
      <c r="O1447" s="729"/>
    </row>
    <row r="1448" spans="3:15">
      <c r="C1448" s="720">
        <f>IF(D1432="","-",+C1447+1)</f>
        <v>2025</v>
      </c>
      <c r="D1448" s="673">
        <f t="shared" si="91"/>
        <v>0</v>
      </c>
      <c r="E1448" s="726">
        <f t="shared" si="95"/>
        <v>0</v>
      </c>
      <c r="F1448" s="673">
        <f t="shared" si="90"/>
        <v>0</v>
      </c>
      <c r="G1448" s="1263">
        <f t="shared" si="92"/>
        <v>0</v>
      </c>
      <c r="H1448" s="1266">
        <f t="shared" si="93"/>
        <v>0</v>
      </c>
      <c r="I1448" s="724">
        <f t="shared" si="94"/>
        <v>0</v>
      </c>
      <c r="J1448" s="724"/>
      <c r="K1448" s="869"/>
      <c r="L1448" s="729"/>
      <c r="M1448" s="869"/>
      <c r="N1448" s="729"/>
      <c r="O1448" s="729"/>
    </row>
    <row r="1449" spans="3:15">
      <c r="C1449" s="720">
        <f>IF(D1432="","-",+C1448+1)</f>
        <v>2026</v>
      </c>
      <c r="D1449" s="673">
        <f t="shared" si="91"/>
        <v>0</v>
      </c>
      <c r="E1449" s="726">
        <f t="shared" si="95"/>
        <v>0</v>
      </c>
      <c r="F1449" s="673">
        <f t="shared" si="90"/>
        <v>0</v>
      </c>
      <c r="G1449" s="1263">
        <f t="shared" si="92"/>
        <v>0</v>
      </c>
      <c r="H1449" s="1266">
        <f t="shared" si="93"/>
        <v>0</v>
      </c>
      <c r="I1449" s="724">
        <f t="shared" si="94"/>
        <v>0</v>
      </c>
      <c r="J1449" s="724"/>
      <c r="K1449" s="869"/>
      <c r="L1449" s="729"/>
      <c r="M1449" s="869"/>
      <c r="N1449" s="729"/>
      <c r="O1449" s="729"/>
    </row>
    <row r="1450" spans="3:15">
      <c r="C1450" s="720">
        <f>IF(D1432="","-",+C1449+1)</f>
        <v>2027</v>
      </c>
      <c r="D1450" s="673">
        <f t="shared" si="91"/>
        <v>0</v>
      </c>
      <c r="E1450" s="726">
        <f t="shared" si="95"/>
        <v>0</v>
      </c>
      <c r="F1450" s="673">
        <f t="shared" si="90"/>
        <v>0</v>
      </c>
      <c r="G1450" s="1263">
        <f t="shared" si="92"/>
        <v>0</v>
      </c>
      <c r="H1450" s="1266">
        <f t="shared" si="93"/>
        <v>0</v>
      </c>
      <c r="I1450" s="724">
        <f t="shared" si="94"/>
        <v>0</v>
      </c>
      <c r="J1450" s="724"/>
      <c r="K1450" s="869"/>
      <c r="L1450" s="729"/>
      <c r="M1450" s="869"/>
      <c r="N1450" s="729"/>
      <c r="O1450" s="729"/>
    </row>
    <row r="1451" spans="3:15">
      <c r="C1451" s="720">
        <f>IF(D1432="","-",+C1450+1)</f>
        <v>2028</v>
      </c>
      <c r="D1451" s="673">
        <f t="shared" si="91"/>
        <v>0</v>
      </c>
      <c r="E1451" s="726">
        <f t="shared" si="95"/>
        <v>0</v>
      </c>
      <c r="F1451" s="673">
        <f t="shared" si="90"/>
        <v>0</v>
      </c>
      <c r="G1451" s="1263">
        <f t="shared" si="92"/>
        <v>0</v>
      </c>
      <c r="H1451" s="1266">
        <f t="shared" si="93"/>
        <v>0</v>
      </c>
      <c r="I1451" s="724">
        <f t="shared" si="94"/>
        <v>0</v>
      </c>
      <c r="J1451" s="724"/>
      <c r="K1451" s="869"/>
      <c r="L1451" s="729"/>
      <c r="M1451" s="869"/>
      <c r="N1451" s="729"/>
      <c r="O1451" s="729"/>
    </row>
    <row r="1452" spans="3:15">
      <c r="C1452" s="720">
        <f>IF(D1432="","-",+C1451+1)</f>
        <v>2029</v>
      </c>
      <c r="D1452" s="673">
        <f t="shared" si="91"/>
        <v>0</v>
      </c>
      <c r="E1452" s="726">
        <f t="shared" si="95"/>
        <v>0</v>
      </c>
      <c r="F1452" s="673">
        <f t="shared" si="90"/>
        <v>0</v>
      </c>
      <c r="G1452" s="1263">
        <f t="shared" si="92"/>
        <v>0</v>
      </c>
      <c r="H1452" s="1266">
        <f t="shared" si="93"/>
        <v>0</v>
      </c>
      <c r="I1452" s="724">
        <f t="shared" si="94"/>
        <v>0</v>
      </c>
      <c r="J1452" s="724"/>
      <c r="K1452" s="869"/>
      <c r="L1452" s="729"/>
      <c r="M1452" s="869"/>
      <c r="N1452" s="729"/>
      <c r="O1452" s="729"/>
    </row>
    <row r="1453" spans="3:15">
      <c r="C1453" s="720">
        <f>IF(D1432="","-",+C1452+1)</f>
        <v>2030</v>
      </c>
      <c r="D1453" s="673">
        <f t="shared" si="91"/>
        <v>0</v>
      </c>
      <c r="E1453" s="726">
        <f t="shared" si="95"/>
        <v>0</v>
      </c>
      <c r="F1453" s="673">
        <f t="shared" si="90"/>
        <v>0</v>
      </c>
      <c r="G1453" s="1263">
        <f t="shared" si="92"/>
        <v>0</v>
      </c>
      <c r="H1453" s="1266">
        <f t="shared" si="93"/>
        <v>0</v>
      </c>
      <c r="I1453" s="724">
        <f t="shared" si="94"/>
        <v>0</v>
      </c>
      <c r="J1453" s="724"/>
      <c r="K1453" s="869"/>
      <c r="L1453" s="729"/>
      <c r="M1453" s="869"/>
      <c r="N1453" s="729"/>
      <c r="O1453" s="729"/>
    </row>
    <row r="1454" spans="3:15">
      <c r="C1454" s="720">
        <f>IF(D1432="","-",+C1453+1)</f>
        <v>2031</v>
      </c>
      <c r="D1454" s="673">
        <f t="shared" si="91"/>
        <v>0</v>
      </c>
      <c r="E1454" s="726">
        <f t="shared" si="95"/>
        <v>0</v>
      </c>
      <c r="F1454" s="673">
        <f t="shared" si="90"/>
        <v>0</v>
      </c>
      <c r="G1454" s="1263">
        <f t="shared" si="92"/>
        <v>0</v>
      </c>
      <c r="H1454" s="1266">
        <f t="shared" si="93"/>
        <v>0</v>
      </c>
      <c r="I1454" s="724">
        <f t="shared" si="94"/>
        <v>0</v>
      </c>
      <c r="J1454" s="724"/>
      <c r="K1454" s="869"/>
      <c r="L1454" s="729"/>
      <c r="M1454" s="869"/>
      <c r="N1454" s="729"/>
      <c r="O1454" s="729"/>
    </row>
    <row r="1455" spans="3:15">
      <c r="C1455" s="720">
        <f>IF(D1432="","-",+C1454+1)</f>
        <v>2032</v>
      </c>
      <c r="D1455" s="673">
        <f t="shared" si="91"/>
        <v>0</v>
      </c>
      <c r="E1455" s="726">
        <f t="shared" si="95"/>
        <v>0</v>
      </c>
      <c r="F1455" s="673">
        <f t="shared" si="90"/>
        <v>0</v>
      </c>
      <c r="G1455" s="1263">
        <f t="shared" si="92"/>
        <v>0</v>
      </c>
      <c r="H1455" s="1266">
        <f t="shared" si="93"/>
        <v>0</v>
      </c>
      <c r="I1455" s="724">
        <f t="shared" si="94"/>
        <v>0</v>
      </c>
      <c r="J1455" s="724"/>
      <c r="K1455" s="869"/>
      <c r="L1455" s="729"/>
      <c r="M1455" s="869"/>
      <c r="N1455" s="729"/>
      <c r="O1455" s="729"/>
    </row>
    <row r="1456" spans="3:15">
      <c r="C1456" s="720">
        <f>IF(D1432="","-",+C1455+1)</f>
        <v>2033</v>
      </c>
      <c r="D1456" s="673">
        <f t="shared" si="91"/>
        <v>0</v>
      </c>
      <c r="E1456" s="726">
        <f t="shared" si="95"/>
        <v>0</v>
      </c>
      <c r="F1456" s="673">
        <f t="shared" si="90"/>
        <v>0</v>
      </c>
      <c r="G1456" s="1263">
        <f t="shared" si="92"/>
        <v>0</v>
      </c>
      <c r="H1456" s="1266">
        <f t="shared" si="93"/>
        <v>0</v>
      </c>
      <c r="I1456" s="724">
        <f t="shared" si="94"/>
        <v>0</v>
      </c>
      <c r="J1456" s="724"/>
      <c r="K1456" s="869"/>
      <c r="L1456" s="729"/>
      <c r="M1456" s="869"/>
      <c r="N1456" s="729"/>
      <c r="O1456" s="729"/>
    </row>
    <row r="1457" spans="3:15">
      <c r="C1457" s="720">
        <f>IF(D1432="","-",+C1456+1)</f>
        <v>2034</v>
      </c>
      <c r="D1457" s="673">
        <f t="shared" si="91"/>
        <v>0</v>
      </c>
      <c r="E1457" s="726">
        <f t="shared" si="95"/>
        <v>0</v>
      </c>
      <c r="F1457" s="673">
        <f t="shared" si="90"/>
        <v>0</v>
      </c>
      <c r="G1457" s="1263">
        <f t="shared" si="92"/>
        <v>0</v>
      </c>
      <c r="H1457" s="1266">
        <f t="shared" si="93"/>
        <v>0</v>
      </c>
      <c r="I1457" s="724">
        <f t="shared" si="94"/>
        <v>0</v>
      </c>
      <c r="J1457" s="724"/>
      <c r="K1457" s="869"/>
      <c r="L1457" s="729"/>
      <c r="M1457" s="869"/>
      <c r="N1457" s="729"/>
      <c r="O1457" s="729"/>
    </row>
    <row r="1458" spans="3:15">
      <c r="C1458" s="720">
        <f>IF(D1432="","-",+C1457+1)</f>
        <v>2035</v>
      </c>
      <c r="D1458" s="673">
        <f t="shared" si="91"/>
        <v>0</v>
      </c>
      <c r="E1458" s="726">
        <f t="shared" si="95"/>
        <v>0</v>
      </c>
      <c r="F1458" s="673">
        <f t="shared" si="90"/>
        <v>0</v>
      </c>
      <c r="G1458" s="1263">
        <f t="shared" si="92"/>
        <v>0</v>
      </c>
      <c r="H1458" s="1266">
        <f t="shared" si="93"/>
        <v>0</v>
      </c>
      <c r="I1458" s="724">
        <f t="shared" si="94"/>
        <v>0</v>
      </c>
      <c r="J1458" s="724"/>
      <c r="K1458" s="869"/>
      <c r="L1458" s="729"/>
      <c r="M1458" s="869"/>
      <c r="N1458" s="729"/>
      <c r="O1458" s="729"/>
    </row>
    <row r="1459" spans="3:15">
      <c r="C1459" s="720">
        <f>IF(D1432="","-",+C1458+1)</f>
        <v>2036</v>
      </c>
      <c r="D1459" s="673">
        <f t="shared" si="91"/>
        <v>0</v>
      </c>
      <c r="E1459" s="726">
        <f t="shared" si="95"/>
        <v>0</v>
      </c>
      <c r="F1459" s="673">
        <f t="shared" si="90"/>
        <v>0</v>
      </c>
      <c r="G1459" s="1263">
        <f t="shared" si="92"/>
        <v>0</v>
      </c>
      <c r="H1459" s="1266">
        <f t="shared" si="93"/>
        <v>0</v>
      </c>
      <c r="I1459" s="724">
        <f t="shared" si="94"/>
        <v>0</v>
      </c>
      <c r="J1459" s="724"/>
      <c r="K1459" s="869"/>
      <c r="L1459" s="729"/>
      <c r="M1459" s="869"/>
      <c r="N1459" s="729"/>
      <c r="O1459" s="729"/>
    </row>
    <row r="1460" spans="3:15">
      <c r="C1460" s="720">
        <f>IF(D1432="","-",+C1459+1)</f>
        <v>2037</v>
      </c>
      <c r="D1460" s="673">
        <f t="shared" si="91"/>
        <v>0</v>
      </c>
      <c r="E1460" s="726">
        <f t="shared" si="95"/>
        <v>0</v>
      </c>
      <c r="F1460" s="673">
        <f t="shared" si="90"/>
        <v>0</v>
      </c>
      <c r="G1460" s="1263">
        <f t="shared" si="92"/>
        <v>0</v>
      </c>
      <c r="H1460" s="1266">
        <f t="shared" si="93"/>
        <v>0</v>
      </c>
      <c r="I1460" s="724">
        <f t="shared" si="94"/>
        <v>0</v>
      </c>
      <c r="J1460" s="724"/>
      <c r="K1460" s="869"/>
      <c r="L1460" s="729"/>
      <c r="M1460" s="869"/>
      <c r="N1460" s="729"/>
      <c r="O1460" s="729"/>
    </row>
    <row r="1461" spans="3:15">
      <c r="C1461" s="720">
        <f>IF(D1432="","-",+C1460+1)</f>
        <v>2038</v>
      </c>
      <c r="D1461" s="673">
        <f t="shared" si="91"/>
        <v>0</v>
      </c>
      <c r="E1461" s="726">
        <f t="shared" si="95"/>
        <v>0</v>
      </c>
      <c r="F1461" s="673">
        <f t="shared" si="90"/>
        <v>0</v>
      </c>
      <c r="G1461" s="1263">
        <f t="shared" si="92"/>
        <v>0</v>
      </c>
      <c r="H1461" s="1266">
        <f t="shared" si="93"/>
        <v>0</v>
      </c>
      <c r="I1461" s="724">
        <f t="shared" si="94"/>
        <v>0</v>
      </c>
      <c r="J1461" s="724"/>
      <c r="K1461" s="869"/>
      <c r="L1461" s="729"/>
      <c r="M1461" s="869"/>
      <c r="N1461" s="729"/>
      <c r="O1461" s="729"/>
    </row>
    <row r="1462" spans="3:15">
      <c r="C1462" s="720">
        <f>IF(D1432="","-",+C1461+1)</f>
        <v>2039</v>
      </c>
      <c r="D1462" s="673">
        <f t="shared" si="91"/>
        <v>0</v>
      </c>
      <c r="E1462" s="726">
        <f t="shared" si="95"/>
        <v>0</v>
      </c>
      <c r="F1462" s="673">
        <f t="shared" si="90"/>
        <v>0</v>
      </c>
      <c r="G1462" s="1263">
        <f t="shared" si="92"/>
        <v>0</v>
      </c>
      <c r="H1462" s="1266">
        <f t="shared" si="93"/>
        <v>0</v>
      </c>
      <c r="I1462" s="724">
        <f t="shared" si="94"/>
        <v>0</v>
      </c>
      <c r="J1462" s="724"/>
      <c r="K1462" s="869"/>
      <c r="L1462" s="729"/>
      <c r="M1462" s="869"/>
      <c r="N1462" s="729"/>
      <c r="O1462" s="729"/>
    </row>
    <row r="1463" spans="3:15">
      <c r="C1463" s="720">
        <f>IF(D1432="","-",+C1462+1)</f>
        <v>2040</v>
      </c>
      <c r="D1463" s="673">
        <f t="shared" si="91"/>
        <v>0</v>
      </c>
      <c r="E1463" s="726">
        <f t="shared" si="95"/>
        <v>0</v>
      </c>
      <c r="F1463" s="673">
        <f t="shared" si="90"/>
        <v>0</v>
      </c>
      <c r="G1463" s="1263">
        <f t="shared" si="92"/>
        <v>0</v>
      </c>
      <c r="H1463" s="1266">
        <f t="shared" si="93"/>
        <v>0</v>
      </c>
      <c r="I1463" s="724">
        <f t="shared" si="94"/>
        <v>0</v>
      </c>
      <c r="J1463" s="724"/>
      <c r="K1463" s="869"/>
      <c r="L1463" s="729"/>
      <c r="M1463" s="869"/>
      <c r="N1463" s="729"/>
      <c r="O1463" s="729"/>
    </row>
    <row r="1464" spans="3:15">
      <c r="C1464" s="720">
        <f>IF(D1432="","-",+C1463+1)</f>
        <v>2041</v>
      </c>
      <c r="D1464" s="673">
        <f t="shared" si="91"/>
        <v>0</v>
      </c>
      <c r="E1464" s="726">
        <f t="shared" si="95"/>
        <v>0</v>
      </c>
      <c r="F1464" s="673">
        <f t="shared" si="90"/>
        <v>0</v>
      </c>
      <c r="G1464" s="1263">
        <f t="shared" si="92"/>
        <v>0</v>
      </c>
      <c r="H1464" s="1266">
        <f t="shared" si="93"/>
        <v>0</v>
      </c>
      <c r="I1464" s="724">
        <f t="shared" si="94"/>
        <v>0</v>
      </c>
      <c r="J1464" s="724"/>
      <c r="K1464" s="869"/>
      <c r="L1464" s="729"/>
      <c r="M1464" s="869"/>
      <c r="N1464" s="729"/>
      <c r="O1464" s="729"/>
    </row>
    <row r="1465" spans="3:15">
      <c r="C1465" s="720">
        <f>IF(D1432="","-",+C1464+1)</f>
        <v>2042</v>
      </c>
      <c r="D1465" s="673">
        <f t="shared" si="91"/>
        <v>0</v>
      </c>
      <c r="E1465" s="726">
        <f t="shared" si="95"/>
        <v>0</v>
      </c>
      <c r="F1465" s="673">
        <f t="shared" si="90"/>
        <v>0</v>
      </c>
      <c r="G1465" s="1263">
        <f t="shared" si="92"/>
        <v>0</v>
      </c>
      <c r="H1465" s="1266">
        <f t="shared" si="93"/>
        <v>0</v>
      </c>
      <c r="I1465" s="724">
        <f t="shared" si="94"/>
        <v>0</v>
      </c>
      <c r="J1465" s="724"/>
      <c r="K1465" s="869"/>
      <c r="L1465" s="729"/>
      <c r="M1465" s="869"/>
      <c r="N1465" s="729"/>
      <c r="O1465" s="729"/>
    </row>
    <row r="1466" spans="3:15">
      <c r="C1466" s="720">
        <f>IF(D1432="","-",+C1465+1)</f>
        <v>2043</v>
      </c>
      <c r="D1466" s="673">
        <f t="shared" si="91"/>
        <v>0</v>
      </c>
      <c r="E1466" s="726">
        <f t="shared" si="95"/>
        <v>0</v>
      </c>
      <c r="F1466" s="673">
        <f t="shared" si="90"/>
        <v>0</v>
      </c>
      <c r="G1466" s="1264">
        <f t="shared" si="92"/>
        <v>0</v>
      </c>
      <c r="H1466" s="1266">
        <f t="shared" si="93"/>
        <v>0</v>
      </c>
      <c r="I1466" s="724">
        <f t="shared" si="94"/>
        <v>0</v>
      </c>
      <c r="J1466" s="724"/>
      <c r="K1466" s="869"/>
      <c r="L1466" s="729"/>
      <c r="M1466" s="869"/>
      <c r="N1466" s="729"/>
      <c r="O1466" s="729"/>
    </row>
    <row r="1467" spans="3:15">
      <c r="C1467" s="720">
        <f>IF(D1432="","-",+C1466+1)</f>
        <v>2044</v>
      </c>
      <c r="D1467" s="673">
        <f t="shared" si="91"/>
        <v>0</v>
      </c>
      <c r="E1467" s="726">
        <f t="shared" si="95"/>
        <v>0</v>
      </c>
      <c r="F1467" s="673">
        <f t="shared" si="90"/>
        <v>0</v>
      </c>
      <c r="G1467" s="1263">
        <f t="shared" si="92"/>
        <v>0</v>
      </c>
      <c r="H1467" s="1266">
        <f t="shared" si="93"/>
        <v>0</v>
      </c>
      <c r="I1467" s="724">
        <f t="shared" si="94"/>
        <v>0</v>
      </c>
      <c r="J1467" s="724"/>
      <c r="K1467" s="869"/>
      <c r="L1467" s="729"/>
      <c r="M1467" s="869"/>
      <c r="N1467" s="729"/>
      <c r="O1467" s="729"/>
    </row>
    <row r="1468" spans="3:15">
      <c r="C1468" s="720">
        <f>IF(D1432="","-",+C1467+1)</f>
        <v>2045</v>
      </c>
      <c r="D1468" s="673">
        <f t="shared" si="91"/>
        <v>0</v>
      </c>
      <c r="E1468" s="726">
        <f t="shared" si="95"/>
        <v>0</v>
      </c>
      <c r="F1468" s="673">
        <f t="shared" si="90"/>
        <v>0</v>
      </c>
      <c r="G1468" s="1263">
        <f t="shared" si="92"/>
        <v>0</v>
      </c>
      <c r="H1468" s="1266">
        <f t="shared" si="93"/>
        <v>0</v>
      </c>
      <c r="I1468" s="724">
        <f t="shared" si="94"/>
        <v>0</v>
      </c>
      <c r="J1468" s="724"/>
      <c r="K1468" s="869"/>
      <c r="L1468" s="729"/>
      <c r="M1468" s="869"/>
      <c r="N1468" s="729"/>
      <c r="O1468" s="729"/>
    </row>
    <row r="1469" spans="3:15">
      <c r="C1469" s="720">
        <f>IF(D1432="","-",+C1468+1)</f>
        <v>2046</v>
      </c>
      <c r="D1469" s="673">
        <f t="shared" si="91"/>
        <v>0</v>
      </c>
      <c r="E1469" s="726">
        <f t="shared" si="95"/>
        <v>0</v>
      </c>
      <c r="F1469" s="673">
        <f t="shared" si="90"/>
        <v>0</v>
      </c>
      <c r="G1469" s="1263">
        <f t="shared" si="92"/>
        <v>0</v>
      </c>
      <c r="H1469" s="1266">
        <f t="shared" si="93"/>
        <v>0</v>
      </c>
      <c r="I1469" s="724">
        <f t="shared" si="94"/>
        <v>0</v>
      </c>
      <c r="J1469" s="724"/>
      <c r="K1469" s="869"/>
      <c r="L1469" s="729"/>
      <c r="M1469" s="869"/>
      <c r="N1469" s="729"/>
      <c r="O1469" s="729"/>
    </row>
    <row r="1470" spans="3:15">
      <c r="C1470" s="720">
        <f>IF(D1432="","-",+C1469+1)</f>
        <v>2047</v>
      </c>
      <c r="D1470" s="673">
        <f t="shared" si="91"/>
        <v>0</v>
      </c>
      <c r="E1470" s="726">
        <f t="shared" si="95"/>
        <v>0</v>
      </c>
      <c r="F1470" s="673">
        <f t="shared" si="90"/>
        <v>0</v>
      </c>
      <c r="G1470" s="1263">
        <f t="shared" si="92"/>
        <v>0</v>
      </c>
      <c r="H1470" s="1266">
        <f t="shared" si="93"/>
        <v>0</v>
      </c>
      <c r="I1470" s="724">
        <f t="shared" si="94"/>
        <v>0</v>
      </c>
      <c r="J1470" s="724"/>
      <c r="K1470" s="869"/>
      <c r="L1470" s="729"/>
      <c r="M1470" s="869"/>
      <c r="N1470" s="729"/>
      <c r="O1470" s="729"/>
    </row>
    <row r="1471" spans="3:15">
      <c r="C1471" s="720">
        <f>IF(D1432="","-",+C1470+1)</f>
        <v>2048</v>
      </c>
      <c r="D1471" s="673">
        <f t="shared" si="91"/>
        <v>0</v>
      </c>
      <c r="E1471" s="726">
        <f t="shared" si="95"/>
        <v>0</v>
      </c>
      <c r="F1471" s="673">
        <f t="shared" si="90"/>
        <v>0</v>
      </c>
      <c r="G1471" s="1263">
        <f t="shared" si="92"/>
        <v>0</v>
      </c>
      <c r="H1471" s="1266">
        <f t="shared" si="93"/>
        <v>0</v>
      </c>
      <c r="I1471" s="724">
        <f t="shared" si="94"/>
        <v>0</v>
      </c>
      <c r="J1471" s="724"/>
      <c r="K1471" s="869"/>
      <c r="L1471" s="729"/>
      <c r="M1471" s="869"/>
      <c r="N1471" s="729"/>
      <c r="O1471" s="729"/>
    </row>
    <row r="1472" spans="3:15">
      <c r="C1472" s="720">
        <f>IF(D1432="","-",+C1471+1)</f>
        <v>2049</v>
      </c>
      <c r="D1472" s="673">
        <f t="shared" si="91"/>
        <v>0</v>
      </c>
      <c r="E1472" s="726">
        <f t="shared" si="95"/>
        <v>0</v>
      </c>
      <c r="F1472" s="673">
        <f t="shared" si="90"/>
        <v>0</v>
      </c>
      <c r="G1472" s="1263">
        <f t="shared" si="92"/>
        <v>0</v>
      </c>
      <c r="H1472" s="1266">
        <f t="shared" si="93"/>
        <v>0</v>
      </c>
      <c r="I1472" s="724">
        <f t="shared" si="94"/>
        <v>0</v>
      </c>
      <c r="J1472" s="724"/>
      <c r="K1472" s="869"/>
      <c r="L1472" s="729"/>
      <c r="M1472" s="869"/>
      <c r="N1472" s="729"/>
      <c r="O1472" s="729"/>
    </row>
    <row r="1473" spans="3:15">
      <c r="C1473" s="720">
        <f>IF(D1432="","-",+C1472+1)</f>
        <v>2050</v>
      </c>
      <c r="D1473" s="673">
        <f t="shared" si="91"/>
        <v>0</v>
      </c>
      <c r="E1473" s="726">
        <f t="shared" si="95"/>
        <v>0</v>
      </c>
      <c r="F1473" s="673">
        <f t="shared" si="90"/>
        <v>0</v>
      </c>
      <c r="G1473" s="1263">
        <f t="shared" si="92"/>
        <v>0</v>
      </c>
      <c r="H1473" s="1266">
        <f t="shared" si="93"/>
        <v>0</v>
      </c>
      <c r="I1473" s="724">
        <f t="shared" si="94"/>
        <v>0</v>
      </c>
      <c r="J1473" s="724"/>
      <c r="K1473" s="869"/>
      <c r="L1473" s="729"/>
      <c r="M1473" s="869"/>
      <c r="N1473" s="729"/>
      <c r="O1473" s="729"/>
    </row>
    <row r="1474" spans="3:15">
      <c r="C1474" s="720">
        <f>IF(D1432="","-",+C1473+1)</f>
        <v>2051</v>
      </c>
      <c r="D1474" s="673">
        <f t="shared" si="91"/>
        <v>0</v>
      </c>
      <c r="E1474" s="726">
        <f t="shared" si="95"/>
        <v>0</v>
      </c>
      <c r="F1474" s="673">
        <f t="shared" si="90"/>
        <v>0</v>
      </c>
      <c r="G1474" s="1263">
        <f t="shared" si="92"/>
        <v>0</v>
      </c>
      <c r="H1474" s="1266">
        <f t="shared" si="93"/>
        <v>0</v>
      </c>
      <c r="I1474" s="724">
        <f t="shared" si="94"/>
        <v>0</v>
      </c>
      <c r="J1474" s="724"/>
      <c r="K1474" s="869"/>
      <c r="L1474" s="729"/>
      <c r="M1474" s="869"/>
      <c r="N1474" s="729"/>
      <c r="O1474" s="729"/>
    </row>
    <row r="1475" spans="3:15">
      <c r="C1475" s="720">
        <f>IF(D1432="","-",+C1474+1)</f>
        <v>2052</v>
      </c>
      <c r="D1475" s="673">
        <f t="shared" si="91"/>
        <v>0</v>
      </c>
      <c r="E1475" s="726">
        <f t="shared" si="95"/>
        <v>0</v>
      </c>
      <c r="F1475" s="673">
        <f t="shared" si="90"/>
        <v>0</v>
      </c>
      <c r="G1475" s="1263">
        <f t="shared" si="92"/>
        <v>0</v>
      </c>
      <c r="H1475" s="1266">
        <f t="shared" si="93"/>
        <v>0</v>
      </c>
      <c r="I1475" s="724">
        <f t="shared" si="94"/>
        <v>0</v>
      </c>
      <c r="J1475" s="724"/>
      <c r="K1475" s="869"/>
      <c r="L1475" s="729"/>
      <c r="M1475" s="869"/>
      <c r="N1475" s="729"/>
      <c r="O1475" s="729"/>
    </row>
    <row r="1476" spans="3:15">
      <c r="C1476" s="720">
        <f>IF(D1432="","-",+C1475+1)</f>
        <v>2053</v>
      </c>
      <c r="D1476" s="673">
        <f t="shared" si="91"/>
        <v>0</v>
      </c>
      <c r="E1476" s="726">
        <f t="shared" si="95"/>
        <v>0</v>
      </c>
      <c r="F1476" s="673">
        <f t="shared" si="90"/>
        <v>0</v>
      </c>
      <c r="G1476" s="1263">
        <f t="shared" si="92"/>
        <v>0</v>
      </c>
      <c r="H1476" s="1266">
        <f t="shared" si="93"/>
        <v>0</v>
      </c>
      <c r="I1476" s="724">
        <f t="shared" si="94"/>
        <v>0</v>
      </c>
      <c r="J1476" s="724"/>
      <c r="K1476" s="869"/>
      <c r="L1476" s="729"/>
      <c r="M1476" s="869"/>
      <c r="N1476" s="729"/>
      <c r="O1476" s="729"/>
    </row>
    <row r="1477" spans="3:15">
      <c r="C1477" s="720">
        <f>IF(D1432="","-",+C1476+1)</f>
        <v>2054</v>
      </c>
      <c r="D1477" s="673">
        <f t="shared" si="91"/>
        <v>0</v>
      </c>
      <c r="E1477" s="726">
        <f t="shared" si="95"/>
        <v>0</v>
      </c>
      <c r="F1477" s="673">
        <f t="shared" si="90"/>
        <v>0</v>
      </c>
      <c r="G1477" s="1263">
        <f t="shared" si="92"/>
        <v>0</v>
      </c>
      <c r="H1477" s="1266">
        <f t="shared" si="93"/>
        <v>0</v>
      </c>
      <c r="I1477" s="724">
        <f t="shared" si="94"/>
        <v>0</v>
      </c>
      <c r="J1477" s="724"/>
      <c r="K1477" s="869"/>
      <c r="L1477" s="729"/>
      <c r="M1477" s="869"/>
      <c r="N1477" s="729"/>
      <c r="O1477" s="729"/>
    </row>
    <row r="1478" spans="3:15">
      <c r="C1478" s="720">
        <f>IF(D1432="","-",+C1477+1)</f>
        <v>2055</v>
      </c>
      <c r="D1478" s="673">
        <f t="shared" si="91"/>
        <v>0</v>
      </c>
      <c r="E1478" s="726">
        <f t="shared" si="95"/>
        <v>0</v>
      </c>
      <c r="F1478" s="673">
        <f t="shared" si="90"/>
        <v>0</v>
      </c>
      <c r="G1478" s="1263">
        <f t="shared" si="92"/>
        <v>0</v>
      </c>
      <c r="H1478" s="1266">
        <f t="shared" si="93"/>
        <v>0</v>
      </c>
      <c r="I1478" s="724">
        <f t="shared" si="94"/>
        <v>0</v>
      </c>
      <c r="J1478" s="724"/>
      <c r="K1478" s="869"/>
      <c r="L1478" s="729"/>
      <c r="M1478" s="869"/>
      <c r="N1478" s="729"/>
      <c r="O1478" s="729"/>
    </row>
    <row r="1479" spans="3:15">
      <c r="C1479" s="720">
        <f>IF(D1432="","-",+C1478+1)</f>
        <v>2056</v>
      </c>
      <c r="D1479" s="673">
        <f t="shared" si="91"/>
        <v>0</v>
      </c>
      <c r="E1479" s="726">
        <f t="shared" si="95"/>
        <v>0</v>
      </c>
      <c r="F1479" s="673">
        <f t="shared" si="90"/>
        <v>0</v>
      </c>
      <c r="G1479" s="1263">
        <f t="shared" si="92"/>
        <v>0</v>
      </c>
      <c r="H1479" s="1266">
        <f t="shared" si="93"/>
        <v>0</v>
      </c>
      <c r="I1479" s="724">
        <f t="shared" si="94"/>
        <v>0</v>
      </c>
      <c r="J1479" s="724"/>
      <c r="K1479" s="869"/>
      <c r="L1479" s="729"/>
      <c r="M1479" s="869"/>
      <c r="N1479" s="729"/>
      <c r="O1479" s="729"/>
    </row>
    <row r="1480" spans="3:15">
      <c r="C1480" s="720">
        <f>IF(D1432="","-",+C1479+1)</f>
        <v>2057</v>
      </c>
      <c r="D1480" s="673">
        <f t="shared" si="91"/>
        <v>0</v>
      </c>
      <c r="E1480" s="726">
        <f t="shared" si="95"/>
        <v>0</v>
      </c>
      <c r="F1480" s="673">
        <f t="shared" si="90"/>
        <v>0</v>
      </c>
      <c r="G1480" s="1263">
        <f t="shared" si="92"/>
        <v>0</v>
      </c>
      <c r="H1480" s="1266">
        <f t="shared" si="93"/>
        <v>0</v>
      </c>
      <c r="I1480" s="724">
        <f t="shared" si="94"/>
        <v>0</v>
      </c>
      <c r="J1480" s="724"/>
      <c r="K1480" s="869"/>
      <c r="L1480" s="729"/>
      <c r="M1480" s="869"/>
      <c r="N1480" s="729"/>
      <c r="O1480" s="729"/>
    </row>
    <row r="1481" spans="3:15">
      <c r="C1481" s="720">
        <f>IF(D1432="","-",+C1480+1)</f>
        <v>2058</v>
      </c>
      <c r="D1481" s="673">
        <f t="shared" si="91"/>
        <v>0</v>
      </c>
      <c r="E1481" s="726">
        <f t="shared" si="95"/>
        <v>0</v>
      </c>
      <c r="F1481" s="673">
        <f t="shared" si="90"/>
        <v>0</v>
      </c>
      <c r="G1481" s="1263">
        <f t="shared" si="92"/>
        <v>0</v>
      </c>
      <c r="H1481" s="1266">
        <f t="shared" si="93"/>
        <v>0</v>
      </c>
      <c r="I1481" s="724">
        <f t="shared" si="94"/>
        <v>0</v>
      </c>
      <c r="J1481" s="724"/>
      <c r="K1481" s="869"/>
      <c r="L1481" s="729"/>
      <c r="M1481" s="869"/>
      <c r="N1481" s="729"/>
      <c r="O1481" s="729"/>
    </row>
    <row r="1482" spans="3:15">
      <c r="C1482" s="720">
        <f>IF(D1432="","-",+C1481+1)</f>
        <v>2059</v>
      </c>
      <c r="D1482" s="673">
        <f t="shared" si="91"/>
        <v>0</v>
      </c>
      <c r="E1482" s="726">
        <f t="shared" si="95"/>
        <v>0</v>
      </c>
      <c r="F1482" s="673">
        <f t="shared" si="90"/>
        <v>0</v>
      </c>
      <c r="G1482" s="1263">
        <f t="shared" si="92"/>
        <v>0</v>
      </c>
      <c r="H1482" s="1266">
        <f t="shared" si="93"/>
        <v>0</v>
      </c>
      <c r="I1482" s="724">
        <f t="shared" si="94"/>
        <v>0</v>
      </c>
      <c r="J1482" s="724"/>
      <c r="K1482" s="869"/>
      <c r="L1482" s="729"/>
      <c r="M1482" s="869"/>
      <c r="N1482" s="729"/>
      <c r="O1482" s="729"/>
    </row>
    <row r="1483" spans="3:15">
      <c r="C1483" s="720">
        <f>IF(D1432="","-",+C1482+1)</f>
        <v>2060</v>
      </c>
      <c r="D1483" s="673">
        <f t="shared" si="91"/>
        <v>0</v>
      </c>
      <c r="E1483" s="726">
        <f t="shared" si="95"/>
        <v>0</v>
      </c>
      <c r="F1483" s="673">
        <f t="shared" si="90"/>
        <v>0</v>
      </c>
      <c r="G1483" s="1263">
        <f t="shared" si="92"/>
        <v>0</v>
      </c>
      <c r="H1483" s="1266">
        <f t="shared" si="93"/>
        <v>0</v>
      </c>
      <c r="I1483" s="724">
        <f t="shared" si="94"/>
        <v>0</v>
      </c>
      <c r="J1483" s="724"/>
      <c r="K1483" s="869"/>
      <c r="L1483" s="729"/>
      <c r="M1483" s="869"/>
      <c r="N1483" s="729"/>
      <c r="O1483" s="729"/>
    </row>
    <row r="1484" spans="3:15">
      <c r="C1484" s="720">
        <f>IF(D1432="","-",+C1483+1)</f>
        <v>2061</v>
      </c>
      <c r="D1484" s="673">
        <f t="shared" si="91"/>
        <v>0</v>
      </c>
      <c r="E1484" s="726">
        <f t="shared" si="95"/>
        <v>0</v>
      </c>
      <c r="F1484" s="673">
        <f t="shared" si="90"/>
        <v>0</v>
      </c>
      <c r="G1484" s="1263">
        <f t="shared" si="92"/>
        <v>0</v>
      </c>
      <c r="H1484" s="1266">
        <f t="shared" si="93"/>
        <v>0</v>
      </c>
      <c r="I1484" s="724">
        <f t="shared" si="94"/>
        <v>0</v>
      </c>
      <c r="J1484" s="724"/>
      <c r="K1484" s="869"/>
      <c r="L1484" s="729"/>
      <c r="M1484" s="869"/>
      <c r="N1484" s="729"/>
      <c r="O1484" s="729"/>
    </row>
    <row r="1485" spans="3:15">
      <c r="C1485" s="720">
        <f>IF(D1432="","-",+C1484+1)</f>
        <v>2062</v>
      </c>
      <c r="D1485" s="673">
        <f t="shared" si="91"/>
        <v>0</v>
      </c>
      <c r="E1485" s="726">
        <f t="shared" si="95"/>
        <v>0</v>
      </c>
      <c r="F1485" s="673">
        <f t="shared" si="90"/>
        <v>0</v>
      </c>
      <c r="G1485" s="1263">
        <f t="shared" si="92"/>
        <v>0</v>
      </c>
      <c r="H1485" s="1266">
        <f t="shared" si="93"/>
        <v>0</v>
      </c>
      <c r="I1485" s="724">
        <f t="shared" si="94"/>
        <v>0</v>
      </c>
      <c r="J1485" s="724"/>
      <c r="K1485" s="869"/>
      <c r="L1485" s="729"/>
      <c r="M1485" s="869"/>
      <c r="N1485" s="729"/>
      <c r="O1485" s="729"/>
    </row>
    <row r="1486" spans="3:15">
      <c r="C1486" s="720">
        <f>IF(D1432="","-",+C1485+1)</f>
        <v>2063</v>
      </c>
      <c r="D1486" s="673">
        <f t="shared" si="91"/>
        <v>0</v>
      </c>
      <c r="E1486" s="726">
        <f t="shared" si="95"/>
        <v>0</v>
      </c>
      <c r="F1486" s="673">
        <f t="shared" si="90"/>
        <v>0</v>
      </c>
      <c r="G1486" s="1263">
        <f t="shared" si="92"/>
        <v>0</v>
      </c>
      <c r="H1486" s="1266">
        <f t="shared" si="93"/>
        <v>0</v>
      </c>
      <c r="I1486" s="724">
        <f t="shared" si="94"/>
        <v>0</v>
      </c>
      <c r="J1486" s="724"/>
      <c r="K1486" s="869"/>
      <c r="L1486" s="729"/>
      <c r="M1486" s="869"/>
      <c r="N1486" s="729"/>
      <c r="O1486" s="729"/>
    </row>
    <row r="1487" spans="3:15">
      <c r="C1487" s="720">
        <f>IF(D1432="","-",+C1486+1)</f>
        <v>2064</v>
      </c>
      <c r="D1487" s="673">
        <f t="shared" si="91"/>
        <v>0</v>
      </c>
      <c r="E1487" s="726">
        <f t="shared" si="95"/>
        <v>0</v>
      </c>
      <c r="F1487" s="673">
        <f t="shared" si="90"/>
        <v>0</v>
      </c>
      <c r="G1487" s="1263">
        <f t="shared" si="92"/>
        <v>0</v>
      </c>
      <c r="H1487" s="1266">
        <f t="shared" si="93"/>
        <v>0</v>
      </c>
      <c r="I1487" s="724">
        <f t="shared" si="94"/>
        <v>0</v>
      </c>
      <c r="J1487" s="724"/>
      <c r="K1487" s="869"/>
      <c r="L1487" s="729"/>
      <c r="M1487" s="869"/>
      <c r="N1487" s="729"/>
      <c r="O1487" s="729"/>
    </row>
    <row r="1488" spans="3:15">
      <c r="C1488" s="720">
        <f>IF(D1432="","-",+C1487+1)</f>
        <v>2065</v>
      </c>
      <c r="D1488" s="673">
        <f t="shared" si="91"/>
        <v>0</v>
      </c>
      <c r="E1488" s="726">
        <f t="shared" si="95"/>
        <v>0</v>
      </c>
      <c r="F1488" s="673">
        <f t="shared" si="90"/>
        <v>0</v>
      </c>
      <c r="G1488" s="1263">
        <f t="shared" si="92"/>
        <v>0</v>
      </c>
      <c r="H1488" s="1266">
        <f t="shared" si="93"/>
        <v>0</v>
      </c>
      <c r="I1488" s="724">
        <f t="shared" si="94"/>
        <v>0</v>
      </c>
      <c r="J1488" s="724"/>
      <c r="K1488" s="869"/>
      <c r="L1488" s="729"/>
      <c r="M1488" s="869"/>
      <c r="N1488" s="729"/>
      <c r="O1488" s="729"/>
    </row>
    <row r="1489" spans="3:15">
      <c r="C1489" s="720">
        <f>IF(D1432="","-",+C1488+1)</f>
        <v>2066</v>
      </c>
      <c r="D1489" s="673">
        <f t="shared" si="91"/>
        <v>0</v>
      </c>
      <c r="E1489" s="726">
        <f t="shared" si="95"/>
        <v>0</v>
      </c>
      <c r="F1489" s="673">
        <f t="shared" si="90"/>
        <v>0</v>
      </c>
      <c r="G1489" s="1263">
        <f t="shared" si="92"/>
        <v>0</v>
      </c>
      <c r="H1489" s="1266">
        <f t="shared" si="93"/>
        <v>0</v>
      </c>
      <c r="I1489" s="724">
        <f t="shared" si="94"/>
        <v>0</v>
      </c>
      <c r="J1489" s="724"/>
      <c r="K1489" s="869"/>
      <c r="L1489" s="729"/>
      <c r="M1489" s="869"/>
      <c r="N1489" s="729"/>
      <c r="O1489" s="729"/>
    </row>
    <row r="1490" spans="3:15">
      <c r="C1490" s="720">
        <f>IF(D1432="","-",+C1489+1)</f>
        <v>2067</v>
      </c>
      <c r="D1490" s="673">
        <f t="shared" si="91"/>
        <v>0</v>
      </c>
      <c r="E1490" s="726">
        <f t="shared" si="95"/>
        <v>0</v>
      </c>
      <c r="F1490" s="673">
        <f t="shared" si="90"/>
        <v>0</v>
      </c>
      <c r="G1490" s="1263">
        <f t="shared" si="92"/>
        <v>0</v>
      </c>
      <c r="H1490" s="1266">
        <f t="shared" si="93"/>
        <v>0</v>
      </c>
      <c r="I1490" s="724">
        <f t="shared" si="94"/>
        <v>0</v>
      </c>
      <c r="J1490" s="724"/>
      <c r="K1490" s="869"/>
      <c r="L1490" s="729"/>
      <c r="M1490" s="869"/>
      <c r="N1490" s="729"/>
      <c r="O1490" s="729"/>
    </row>
    <row r="1491" spans="3:15">
      <c r="C1491" s="720">
        <f>IF(D1432="","-",+C1490+1)</f>
        <v>2068</v>
      </c>
      <c r="D1491" s="673">
        <f t="shared" si="91"/>
        <v>0</v>
      </c>
      <c r="E1491" s="726">
        <f t="shared" si="95"/>
        <v>0</v>
      </c>
      <c r="F1491" s="673">
        <f t="shared" si="90"/>
        <v>0</v>
      </c>
      <c r="G1491" s="1263">
        <f t="shared" si="92"/>
        <v>0</v>
      </c>
      <c r="H1491" s="1266">
        <f t="shared" si="93"/>
        <v>0</v>
      </c>
      <c r="I1491" s="724">
        <f t="shared" si="94"/>
        <v>0</v>
      </c>
      <c r="J1491" s="724"/>
      <c r="K1491" s="869"/>
      <c r="L1491" s="729"/>
      <c r="M1491" s="869"/>
      <c r="N1491" s="729"/>
      <c r="O1491" s="729"/>
    </row>
    <row r="1492" spans="3:15">
      <c r="C1492" s="720">
        <f>IF(D1432="","-",+C1491+1)</f>
        <v>2069</v>
      </c>
      <c r="D1492" s="673">
        <f t="shared" si="91"/>
        <v>0</v>
      </c>
      <c r="E1492" s="726">
        <f t="shared" si="95"/>
        <v>0</v>
      </c>
      <c r="F1492" s="673">
        <f t="shared" si="90"/>
        <v>0</v>
      </c>
      <c r="G1492" s="1263">
        <f t="shared" si="92"/>
        <v>0</v>
      </c>
      <c r="H1492" s="1266">
        <f t="shared" si="93"/>
        <v>0</v>
      </c>
      <c r="I1492" s="724">
        <f t="shared" si="94"/>
        <v>0</v>
      </c>
      <c r="J1492" s="724"/>
      <c r="K1492" s="869"/>
      <c r="L1492" s="729"/>
      <c r="M1492" s="869"/>
      <c r="N1492" s="729"/>
      <c r="O1492" s="729"/>
    </row>
    <row r="1493" spans="3:15">
      <c r="C1493" s="720">
        <f>IF(D1432="","-",+C1492+1)</f>
        <v>2070</v>
      </c>
      <c r="D1493" s="673">
        <f t="shared" si="91"/>
        <v>0</v>
      </c>
      <c r="E1493" s="726">
        <f t="shared" si="95"/>
        <v>0</v>
      </c>
      <c r="F1493" s="673">
        <f t="shared" si="90"/>
        <v>0</v>
      </c>
      <c r="G1493" s="1263">
        <f t="shared" si="92"/>
        <v>0</v>
      </c>
      <c r="H1493" s="1266">
        <f t="shared" si="93"/>
        <v>0</v>
      </c>
      <c r="I1493" s="724">
        <f t="shared" si="94"/>
        <v>0</v>
      </c>
      <c r="J1493" s="724"/>
      <c r="K1493" s="869"/>
      <c r="L1493" s="729"/>
      <c r="M1493" s="869"/>
      <c r="N1493" s="729"/>
      <c r="O1493" s="729"/>
    </row>
    <row r="1494" spans="3:15">
      <c r="C1494" s="720">
        <f>IF(D1432="","-",+C1493+1)</f>
        <v>2071</v>
      </c>
      <c r="D1494" s="673">
        <f t="shared" si="91"/>
        <v>0</v>
      </c>
      <c r="E1494" s="726">
        <f t="shared" si="95"/>
        <v>0</v>
      </c>
      <c r="F1494" s="673">
        <f t="shared" si="90"/>
        <v>0</v>
      </c>
      <c r="G1494" s="1263">
        <f t="shared" si="92"/>
        <v>0</v>
      </c>
      <c r="H1494" s="1266">
        <f t="shared" si="93"/>
        <v>0</v>
      </c>
      <c r="I1494" s="724">
        <f t="shared" si="94"/>
        <v>0</v>
      </c>
      <c r="J1494" s="724"/>
      <c r="K1494" s="869"/>
      <c r="L1494" s="729"/>
      <c r="M1494" s="869"/>
      <c r="N1494" s="729"/>
      <c r="O1494" s="729"/>
    </row>
    <row r="1495" spans="3:15">
      <c r="C1495" s="720">
        <f>IF(D1432="","-",+C1494+1)</f>
        <v>2072</v>
      </c>
      <c r="D1495" s="673">
        <f t="shared" si="91"/>
        <v>0</v>
      </c>
      <c r="E1495" s="726">
        <f t="shared" si="95"/>
        <v>0</v>
      </c>
      <c r="F1495" s="673">
        <f t="shared" si="90"/>
        <v>0</v>
      </c>
      <c r="G1495" s="1263">
        <f t="shared" si="92"/>
        <v>0</v>
      </c>
      <c r="H1495" s="1266">
        <f t="shared" si="93"/>
        <v>0</v>
      </c>
      <c r="I1495" s="724">
        <f t="shared" si="94"/>
        <v>0</v>
      </c>
      <c r="J1495" s="724"/>
      <c r="K1495" s="869"/>
      <c r="L1495" s="729"/>
      <c r="M1495" s="869"/>
      <c r="N1495" s="729"/>
      <c r="O1495" s="729"/>
    </row>
    <row r="1496" spans="3:15">
      <c r="C1496" s="720">
        <f>IF(D1432="","-",+C1495+1)</f>
        <v>2073</v>
      </c>
      <c r="D1496" s="673">
        <f t="shared" si="91"/>
        <v>0</v>
      </c>
      <c r="E1496" s="726">
        <f t="shared" si="95"/>
        <v>0</v>
      </c>
      <c r="F1496" s="673">
        <f t="shared" si="90"/>
        <v>0</v>
      </c>
      <c r="G1496" s="1263">
        <f t="shared" si="92"/>
        <v>0</v>
      </c>
      <c r="H1496" s="1266">
        <f t="shared" si="93"/>
        <v>0</v>
      </c>
      <c r="I1496" s="724">
        <f t="shared" si="94"/>
        <v>0</v>
      </c>
      <c r="J1496" s="724"/>
      <c r="K1496" s="869"/>
      <c r="L1496" s="729"/>
      <c r="M1496" s="869"/>
      <c r="N1496" s="729"/>
      <c r="O1496" s="729"/>
    </row>
    <row r="1497" spans="3:15" ht="13.5" thickBot="1">
      <c r="C1497" s="730">
        <f>IF(D1432="","-",+C1496+1)</f>
        <v>2074</v>
      </c>
      <c r="D1497" s="731">
        <f t="shared" si="91"/>
        <v>0</v>
      </c>
      <c r="E1497" s="732">
        <f t="shared" si="95"/>
        <v>0</v>
      </c>
      <c r="F1497" s="731">
        <f t="shared" si="90"/>
        <v>0</v>
      </c>
      <c r="G1497" s="1274">
        <f t="shared" si="92"/>
        <v>0</v>
      </c>
      <c r="H1497" s="1274">
        <f t="shared" si="93"/>
        <v>0</v>
      </c>
      <c r="I1497" s="734">
        <f t="shared" si="94"/>
        <v>0</v>
      </c>
      <c r="J1497" s="724"/>
      <c r="K1497" s="870"/>
      <c r="L1497" s="736"/>
      <c r="M1497" s="870"/>
      <c r="N1497" s="736"/>
      <c r="O1497" s="736"/>
    </row>
    <row r="1498" spans="3:15">
      <c r="C1498" s="673" t="s">
        <v>288</v>
      </c>
      <c r="D1498" s="1242"/>
      <c r="E1498" s="673"/>
      <c r="F1498" s="1242"/>
      <c r="G1498" s="1242">
        <f>SUM(G1438:G1497)</f>
        <v>0</v>
      </c>
      <c r="H1498" s="1242">
        <f>SUM(H1438:H1497)</f>
        <v>0</v>
      </c>
      <c r="I1498" s="1242">
        <f>SUM(I1438:I1497)</f>
        <v>0</v>
      </c>
      <c r="J1498" s="1242"/>
      <c r="K1498" s="1242"/>
      <c r="L1498" s="1242"/>
      <c r="M1498" s="1242"/>
      <c r="N1498" s="1242"/>
      <c r="O1498" s="542"/>
    </row>
    <row r="1499" spans="3:15">
      <c r="D1499" s="563"/>
      <c r="E1499" s="542"/>
      <c r="F1499" s="542"/>
      <c r="G1499" s="542"/>
      <c r="H1499" s="1241"/>
      <c r="I1499" s="1241"/>
      <c r="J1499" s="1242"/>
      <c r="K1499" s="1241"/>
      <c r="L1499" s="1241"/>
      <c r="M1499" s="1241"/>
      <c r="N1499" s="1241"/>
      <c r="O1499" s="542"/>
    </row>
    <row r="1500" spans="3:15">
      <c r="C1500" s="542" t="s">
        <v>595</v>
      </c>
      <c r="D1500" s="563"/>
      <c r="E1500" s="542"/>
      <c r="F1500" s="542"/>
      <c r="G1500" s="542"/>
      <c r="H1500" s="1241"/>
      <c r="I1500" s="1241"/>
      <c r="J1500" s="1242"/>
      <c r="K1500" s="1241"/>
      <c r="L1500" s="1241"/>
      <c r="M1500" s="1241"/>
      <c r="N1500" s="1241"/>
      <c r="O1500" s="542"/>
    </row>
    <row r="1501" spans="3:15">
      <c r="C1501" s="542"/>
      <c r="D1501" s="563"/>
      <c r="E1501" s="542"/>
      <c r="F1501" s="542"/>
      <c r="G1501" s="542"/>
      <c r="H1501" s="1241"/>
      <c r="I1501" s="1241"/>
      <c r="J1501" s="1242"/>
      <c r="K1501" s="1241"/>
      <c r="L1501" s="1241"/>
      <c r="M1501" s="1241"/>
      <c r="N1501" s="1241"/>
      <c r="O1501" s="542"/>
    </row>
    <row r="1502" spans="3:15">
      <c r="C1502" s="684" t="s">
        <v>934</v>
      </c>
      <c r="D1502" s="673"/>
      <c r="E1502" s="673"/>
      <c r="F1502" s="673"/>
      <c r="G1502" s="1242"/>
      <c r="H1502" s="1242"/>
      <c r="I1502" s="674"/>
      <c r="J1502" s="674"/>
      <c r="K1502" s="674"/>
      <c r="L1502" s="674"/>
      <c r="M1502" s="674"/>
      <c r="N1502" s="674"/>
      <c r="O1502" s="542"/>
    </row>
    <row r="1503" spans="3:15">
      <c r="C1503" s="684" t="s">
        <v>476</v>
      </c>
      <c r="D1503" s="673"/>
      <c r="E1503" s="673"/>
      <c r="F1503" s="673"/>
      <c r="G1503" s="1242"/>
      <c r="H1503" s="1242"/>
      <c r="I1503" s="674"/>
      <c r="J1503" s="674"/>
      <c r="K1503" s="674"/>
      <c r="L1503" s="674"/>
      <c r="M1503" s="674"/>
      <c r="N1503" s="674"/>
      <c r="O1503" s="542"/>
    </row>
    <row r="1504" spans="3:15">
      <c r="C1504" s="672" t="s">
        <v>289</v>
      </c>
      <c r="D1504" s="673"/>
      <c r="E1504" s="673"/>
      <c r="F1504" s="673"/>
      <c r="G1504" s="1242"/>
      <c r="H1504" s="1242"/>
      <c r="I1504" s="674"/>
      <c r="J1504" s="674"/>
      <c r="K1504" s="674"/>
      <c r="L1504" s="674"/>
      <c r="M1504" s="674"/>
      <c r="N1504" s="674"/>
      <c r="O1504" s="542"/>
    </row>
    <row r="1505" spans="1:16">
      <c r="C1505" s="672"/>
      <c r="D1505" s="673"/>
      <c r="E1505" s="673"/>
      <c r="F1505" s="673"/>
      <c r="G1505" s="1242"/>
      <c r="H1505" s="1242"/>
      <c r="I1505" s="674"/>
      <c r="J1505" s="674"/>
      <c r="K1505" s="674"/>
      <c r="L1505" s="674"/>
      <c r="M1505" s="674"/>
      <c r="N1505" s="674"/>
      <c r="O1505" s="542"/>
    </row>
    <row r="1506" spans="1:16">
      <c r="C1506" s="1701" t="s">
        <v>460</v>
      </c>
      <c r="D1506" s="1701"/>
      <c r="E1506" s="1701"/>
      <c r="F1506" s="1701"/>
      <c r="G1506" s="1701"/>
      <c r="H1506" s="1701"/>
      <c r="I1506" s="1701"/>
      <c r="J1506" s="1701"/>
      <c r="K1506" s="1701"/>
      <c r="L1506" s="1701"/>
      <c r="M1506" s="1701"/>
      <c r="N1506" s="1701"/>
      <c r="O1506" s="1701"/>
    </row>
    <row r="1507" spans="1:16">
      <c r="C1507" s="1701"/>
      <c r="D1507" s="1701"/>
      <c r="E1507" s="1701"/>
      <c r="F1507" s="1701"/>
      <c r="G1507" s="1701"/>
      <c r="H1507" s="1701"/>
      <c r="I1507" s="1701"/>
      <c r="J1507" s="1701"/>
      <c r="K1507" s="1701"/>
      <c r="L1507" s="1701"/>
      <c r="M1507" s="1701"/>
      <c r="N1507" s="1701"/>
      <c r="O1507" s="1701"/>
    </row>
    <row r="1508" spans="1:16" ht="20.25">
      <c r="A1508" s="675" t="s">
        <v>931</v>
      </c>
      <c r="B1508" s="576"/>
      <c r="C1508" s="655"/>
      <c r="D1508" s="563"/>
      <c r="E1508" s="542"/>
      <c r="F1508" s="645"/>
      <c r="G1508" s="542"/>
      <c r="H1508" s="1241"/>
      <c r="K1508" s="676"/>
      <c r="L1508" s="676"/>
      <c r="M1508" s="676"/>
      <c r="N1508" s="591" t="str">
        <f>"Page "&amp;SUM(P$6:P1508)&amp;" of "</f>
        <v xml:space="preserve">Page 17 of </v>
      </c>
      <c r="O1508" s="592">
        <f>COUNT(P$6:P$59579)</f>
        <v>22</v>
      </c>
      <c r="P1508" s="542">
        <v>1</v>
      </c>
    </row>
    <row r="1509" spans="1:16">
      <c r="B1509" s="576"/>
      <c r="C1509" s="542"/>
      <c r="D1509" s="563"/>
      <c r="E1509" s="542"/>
      <c r="F1509" s="542"/>
      <c r="G1509" s="542"/>
      <c r="H1509" s="1241"/>
      <c r="I1509" s="542"/>
      <c r="J1509" s="588"/>
      <c r="K1509" s="542"/>
      <c r="L1509" s="542"/>
      <c r="M1509" s="542"/>
      <c r="N1509" s="542"/>
      <c r="O1509" s="542"/>
    </row>
    <row r="1510" spans="1:16" ht="18">
      <c r="B1510" s="595" t="s">
        <v>174</v>
      </c>
      <c r="C1510" s="677" t="s">
        <v>290</v>
      </c>
      <c r="D1510" s="563"/>
      <c r="E1510" s="542"/>
      <c r="F1510" s="542"/>
      <c r="G1510" s="542"/>
      <c r="H1510" s="1241"/>
      <c r="I1510" s="1241"/>
      <c r="J1510" s="1242"/>
      <c r="K1510" s="1241"/>
      <c r="L1510" s="1241"/>
      <c r="M1510" s="1241"/>
      <c r="N1510" s="1241"/>
      <c r="O1510" s="542"/>
    </row>
    <row r="1511" spans="1:16" ht="18.75">
      <c r="B1511" s="595"/>
      <c r="C1511" s="594"/>
      <c r="D1511" s="563"/>
      <c r="E1511" s="542"/>
      <c r="F1511" s="542"/>
      <c r="G1511" s="542"/>
      <c r="H1511" s="1241"/>
      <c r="I1511" s="1241"/>
      <c r="J1511" s="1242"/>
      <c r="K1511" s="1241"/>
      <c r="L1511" s="1241"/>
      <c r="M1511" s="1241"/>
      <c r="N1511" s="1241"/>
      <c r="O1511" s="542"/>
    </row>
    <row r="1512" spans="1:16" ht="18.75">
      <c r="B1512" s="595"/>
      <c r="C1512" s="594" t="s">
        <v>291</v>
      </c>
      <c r="D1512" s="563"/>
      <c r="E1512" s="542"/>
      <c r="F1512" s="542"/>
      <c r="G1512" s="542"/>
      <c r="H1512" s="1241"/>
      <c r="I1512" s="1241"/>
      <c r="J1512" s="1242"/>
      <c r="K1512" s="1241"/>
      <c r="L1512" s="1241"/>
      <c r="M1512" s="1241"/>
      <c r="N1512" s="1241"/>
      <c r="O1512" s="542"/>
    </row>
    <row r="1513" spans="1:16" ht="15.75" thickBot="1">
      <c r="C1513" s="396"/>
      <c r="D1513" s="563"/>
      <c r="E1513" s="542"/>
      <c r="F1513" s="542"/>
      <c r="G1513" s="542"/>
      <c r="H1513" s="1241"/>
      <c r="I1513" s="1241"/>
      <c r="J1513" s="1242"/>
      <c r="K1513" s="1241"/>
      <c r="L1513" s="1241"/>
      <c r="M1513" s="1241"/>
      <c r="N1513" s="1241"/>
      <c r="O1513" s="542"/>
    </row>
    <row r="1514" spans="1:16" ht="15.75">
      <c r="C1514" s="596" t="s">
        <v>292</v>
      </c>
      <c r="D1514" s="563"/>
      <c r="E1514" s="542"/>
      <c r="F1514" s="542"/>
      <c r="G1514" s="1276"/>
      <c r="H1514" s="542" t="s">
        <v>271</v>
      </c>
      <c r="I1514" s="542"/>
      <c r="J1514" s="588"/>
      <c r="K1514" s="678" t="s">
        <v>296</v>
      </c>
      <c r="L1514" s="679"/>
      <c r="M1514" s="680"/>
      <c r="N1514" s="1244">
        <f>VLOOKUP(I1520,C1527:O1586,5)</f>
        <v>1147332.3671470829</v>
      </c>
      <c r="O1514" s="542"/>
    </row>
    <row r="1515" spans="1:16" ht="15.75">
      <c r="C1515" s="596"/>
      <c r="D1515" s="563"/>
      <c r="E1515" s="542"/>
      <c r="F1515" s="542"/>
      <c r="G1515" s="542"/>
      <c r="H1515" s="1245"/>
      <c r="I1515" s="1245"/>
      <c r="J1515" s="1246"/>
      <c r="K1515" s="683" t="s">
        <v>297</v>
      </c>
      <c r="L1515" s="1247"/>
      <c r="M1515" s="588"/>
      <c r="N1515" s="1248">
        <f>VLOOKUP(I1520,C1527:O1586,6)</f>
        <v>1147332.3671470829</v>
      </c>
      <c r="O1515" s="542"/>
    </row>
    <row r="1516" spans="1:16" ht="15.75" thickBot="1">
      <c r="C1516" s="684" t="s">
        <v>293</v>
      </c>
      <c r="D1516" s="1703" t="s">
        <v>950</v>
      </c>
      <c r="E1516" s="1703"/>
      <c r="F1516" s="1703"/>
      <c r="G1516" s="542"/>
      <c r="H1516" s="1245"/>
      <c r="I1516" s="1245"/>
      <c r="J1516" s="1242"/>
      <c r="K1516" s="1249" t="s">
        <v>450</v>
      </c>
      <c r="L1516" s="1250"/>
      <c r="M1516" s="1250"/>
      <c r="N1516" s="1251">
        <f>+N1515-N1514</f>
        <v>0</v>
      </c>
      <c r="O1516" s="542"/>
    </row>
    <row r="1517" spans="1:16">
      <c r="C1517" s="686"/>
      <c r="D1517" s="687"/>
      <c r="E1517" s="671"/>
      <c r="F1517" s="671"/>
      <c r="G1517" s="688"/>
      <c r="H1517" s="1241"/>
      <c r="I1517" s="1241"/>
      <c r="J1517" s="1242"/>
      <c r="K1517" s="1241"/>
      <c r="L1517" s="1241"/>
      <c r="M1517" s="1241"/>
      <c r="N1517" s="1241"/>
      <c r="O1517" s="542"/>
    </row>
    <row r="1518" spans="1:16" ht="13.5" thickBot="1">
      <c r="C1518" s="689"/>
      <c r="D1518" s="1252"/>
      <c r="E1518" s="688"/>
      <c r="F1518" s="688"/>
      <c r="G1518" s="688"/>
      <c r="H1518" s="688"/>
      <c r="I1518" s="688"/>
      <c r="J1518" s="691"/>
      <c r="K1518" s="688"/>
      <c r="L1518" s="688"/>
      <c r="M1518" s="688"/>
      <c r="N1518" s="688"/>
      <c r="O1518" s="576"/>
    </row>
    <row r="1519" spans="1:16" ht="13.5" thickBot="1">
      <c r="C1519" s="692" t="s">
        <v>294</v>
      </c>
      <c r="D1519" s="693"/>
      <c r="E1519" s="693"/>
      <c r="F1519" s="693"/>
      <c r="G1519" s="693"/>
      <c r="H1519" s="693"/>
      <c r="I1519" s="694"/>
      <c r="J1519" s="695"/>
      <c r="K1519" s="542"/>
      <c r="L1519" s="542"/>
      <c r="M1519" s="542"/>
      <c r="N1519" s="542"/>
      <c r="O1519" s="696"/>
    </row>
    <row r="1520" spans="1:16" ht="15">
      <c r="C1520" s="697" t="s">
        <v>272</v>
      </c>
      <c r="D1520" s="1253">
        <v>6852888</v>
      </c>
      <c r="E1520" s="655" t="s">
        <v>273</v>
      </c>
      <c r="G1520" s="698"/>
      <c r="H1520" s="698"/>
      <c r="I1520" s="699">
        <v>2018</v>
      </c>
      <c r="J1520" s="586"/>
      <c r="K1520" s="1702" t="s">
        <v>459</v>
      </c>
      <c r="L1520" s="1702"/>
      <c r="M1520" s="1702"/>
      <c r="N1520" s="1702"/>
      <c r="O1520" s="1702"/>
    </row>
    <row r="1521" spans="1:15">
      <c r="C1521" s="697" t="s">
        <v>275</v>
      </c>
      <c r="D1521" s="865">
        <v>2015</v>
      </c>
      <c r="E1521" s="697" t="s">
        <v>276</v>
      </c>
      <c r="F1521" s="698"/>
      <c r="H1521" s="330"/>
      <c r="I1521" s="1254">
        <f>IF(G1514="",0,$F$15)</f>
        <v>0</v>
      </c>
      <c r="J1521" s="700"/>
      <c r="K1521" s="1242" t="s">
        <v>459</v>
      </c>
    </row>
    <row r="1522" spans="1:15">
      <c r="C1522" s="697" t="s">
        <v>277</v>
      </c>
      <c r="D1522" s="1253">
        <v>12</v>
      </c>
      <c r="E1522" s="697" t="s">
        <v>278</v>
      </c>
      <c r="F1522" s="698"/>
      <c r="H1522" s="330"/>
      <c r="I1522" s="701">
        <f>$G$70</f>
        <v>0.15341253840442806</v>
      </c>
      <c r="J1522" s="702"/>
      <c r="K1522" s="330" t="str">
        <f>"          INPUT PROJECTED ARR (WITH &amp; WITHOUT INCENTIVES) FROM EACH PRIOR YEAR"</f>
        <v xml:space="preserve">          INPUT PROJECTED ARR (WITH &amp; WITHOUT INCENTIVES) FROM EACH PRIOR YEAR</v>
      </c>
    </row>
    <row r="1523" spans="1:15">
      <c r="C1523" s="697" t="s">
        <v>279</v>
      </c>
      <c r="D1523" s="703">
        <f>G$79</f>
        <v>44</v>
      </c>
      <c r="E1523" s="697" t="s">
        <v>280</v>
      </c>
      <c r="F1523" s="698"/>
      <c r="H1523" s="330"/>
      <c r="I1523" s="701">
        <f>IF(G1514="",I1522,$G$67)</f>
        <v>0.15341253840442806</v>
      </c>
      <c r="J1523" s="704"/>
      <c r="K1523" s="330" t="s">
        <v>357</v>
      </c>
    </row>
    <row r="1524" spans="1:15" ht="13.5" thickBot="1">
      <c r="C1524" s="697" t="s">
        <v>281</v>
      </c>
      <c r="D1524" s="866" t="s">
        <v>933</v>
      </c>
      <c r="E1524" s="705" t="s">
        <v>282</v>
      </c>
      <c r="F1524" s="706"/>
      <c r="G1524" s="707"/>
      <c r="H1524" s="707"/>
      <c r="I1524" s="1251">
        <f>IF(D1520=0,0,D1520/D1523)</f>
        <v>155747.45454545456</v>
      </c>
      <c r="J1524" s="1242"/>
      <c r="K1524" s="1242" t="s">
        <v>363</v>
      </c>
      <c r="L1524" s="1242"/>
      <c r="M1524" s="1242"/>
      <c r="N1524" s="1242"/>
      <c r="O1524" s="588"/>
    </row>
    <row r="1525" spans="1:15" ht="51">
      <c r="A1525" s="529"/>
      <c r="B1525" s="1255"/>
      <c r="C1525" s="708" t="s">
        <v>272</v>
      </c>
      <c r="D1525" s="1256" t="s">
        <v>283</v>
      </c>
      <c r="E1525" s="1257" t="s">
        <v>284</v>
      </c>
      <c r="F1525" s="1256" t="s">
        <v>285</v>
      </c>
      <c r="G1525" s="1257" t="s">
        <v>356</v>
      </c>
      <c r="H1525" s="1258" t="s">
        <v>356</v>
      </c>
      <c r="I1525" s="708" t="s">
        <v>295</v>
      </c>
      <c r="J1525" s="712"/>
      <c r="K1525" s="1257" t="s">
        <v>365</v>
      </c>
      <c r="L1525" s="1259"/>
      <c r="M1525" s="1257" t="s">
        <v>365</v>
      </c>
      <c r="N1525" s="1259"/>
      <c r="O1525" s="1259"/>
    </row>
    <row r="1526" spans="1:15" ht="13.5" thickBot="1">
      <c r="C1526" s="714" t="s">
        <v>177</v>
      </c>
      <c r="D1526" s="715" t="s">
        <v>178</v>
      </c>
      <c r="E1526" s="714" t="s">
        <v>37</v>
      </c>
      <c r="F1526" s="715" t="s">
        <v>178</v>
      </c>
      <c r="G1526" s="1260" t="s">
        <v>298</v>
      </c>
      <c r="H1526" s="1261" t="s">
        <v>300</v>
      </c>
      <c r="I1526" s="718" t="s">
        <v>389</v>
      </c>
      <c r="J1526" s="719"/>
      <c r="K1526" s="1260" t="s">
        <v>287</v>
      </c>
      <c r="L1526" s="1262"/>
      <c r="M1526" s="1260" t="s">
        <v>300</v>
      </c>
      <c r="N1526" s="1262"/>
      <c r="O1526" s="1262"/>
    </row>
    <row r="1527" spans="1:15">
      <c r="C1527" s="720">
        <f>IF(D1521= "","-",D1521)</f>
        <v>2015</v>
      </c>
      <c r="D1527" s="673">
        <f>+D1520</f>
        <v>6852888</v>
      </c>
      <c r="E1527" s="1263">
        <f>+I1524/12*(12-D1522)</f>
        <v>0</v>
      </c>
      <c r="F1527" s="673">
        <f t="shared" ref="F1527:F1586" si="96">+D1527-E1527</f>
        <v>6852888</v>
      </c>
      <c r="G1527" s="1264">
        <f>+$I$1522*((D1527+F1527)/2)+E1527</f>
        <v>1051318.9434812441</v>
      </c>
      <c r="H1527" s="1265">
        <f>$I$1523*((D1527+F1527)/2)+E1527</f>
        <v>1051318.9434812441</v>
      </c>
      <c r="I1527" s="724">
        <f>+H1527-G1527</f>
        <v>0</v>
      </c>
      <c r="J1527" s="724"/>
      <c r="K1527" s="868">
        <v>1039339</v>
      </c>
      <c r="L1527" s="725"/>
      <c r="M1527" s="868">
        <v>1039339</v>
      </c>
      <c r="N1527" s="725"/>
      <c r="O1527" s="725"/>
    </row>
    <row r="1528" spans="1:15">
      <c r="C1528" s="720">
        <f>IF(D1521="","-",+C1527+1)</f>
        <v>2016</v>
      </c>
      <c r="D1528" s="673">
        <f t="shared" ref="D1528:D1586" si="97">F1527</f>
        <v>6852888</v>
      </c>
      <c r="E1528" s="726">
        <f>IF(D1528&gt;$I$1524,$I$1524,D1528)</f>
        <v>155747.45454545456</v>
      </c>
      <c r="F1528" s="673">
        <f t="shared" si="96"/>
        <v>6697140.5454545459</v>
      </c>
      <c r="G1528" s="1263">
        <f t="shared" ref="G1528:G1586" si="98">+$I$1522*((D1528+F1528)/2)+E1528</f>
        <v>1195119.5918507755</v>
      </c>
      <c r="H1528" s="1266">
        <f t="shared" ref="H1528:H1586" si="99">$I$1523*((D1528+F1528)/2)+E1528</f>
        <v>1195119.5918507755</v>
      </c>
      <c r="I1528" s="724">
        <f t="shared" ref="I1528:I1586" si="100">+H1528-G1528</f>
        <v>0</v>
      </c>
      <c r="J1528" s="724"/>
      <c r="K1528" s="869">
        <v>1387490</v>
      </c>
      <c r="L1528" s="729"/>
      <c r="M1528" s="869">
        <v>1387490</v>
      </c>
      <c r="N1528" s="729"/>
      <c r="O1528" s="729"/>
    </row>
    <row r="1529" spans="1:15">
      <c r="C1529" s="720">
        <f>IF(D1521="","-",+C1528+1)</f>
        <v>2017</v>
      </c>
      <c r="D1529" s="673">
        <f t="shared" si="97"/>
        <v>6697140.5454545459</v>
      </c>
      <c r="E1529" s="726">
        <f t="shared" ref="E1529:E1586" si="101">IF(D1529&gt;$I$1524,$I$1524,D1529)</f>
        <v>155747.45454545456</v>
      </c>
      <c r="F1529" s="673">
        <f t="shared" si="96"/>
        <v>6541393.0909090918</v>
      </c>
      <c r="G1529" s="1263">
        <f t="shared" si="98"/>
        <v>1171225.9794989291</v>
      </c>
      <c r="H1529" s="1266">
        <f t="shared" si="99"/>
        <v>1171225.9794989291</v>
      </c>
      <c r="I1529" s="724">
        <f t="shared" si="100"/>
        <v>0</v>
      </c>
      <c r="J1529" s="724"/>
      <c r="K1529" s="869">
        <v>1411523</v>
      </c>
      <c r="L1529" s="729"/>
      <c r="M1529" s="869">
        <v>1411523</v>
      </c>
      <c r="N1529" s="729"/>
      <c r="O1529" s="729"/>
    </row>
    <row r="1530" spans="1:15">
      <c r="C1530" s="1268">
        <f>IF(D1521="","-",+C1529+1)</f>
        <v>2018</v>
      </c>
      <c r="D1530" s="1269">
        <f t="shared" si="97"/>
        <v>6541393.0909090918</v>
      </c>
      <c r="E1530" s="1270">
        <f t="shared" si="101"/>
        <v>155747.45454545456</v>
      </c>
      <c r="F1530" s="1269">
        <f t="shared" si="96"/>
        <v>6385645.6363636376</v>
      </c>
      <c r="G1530" s="1271">
        <f t="shared" si="98"/>
        <v>1147332.3671470829</v>
      </c>
      <c r="H1530" s="1272">
        <f t="shared" si="99"/>
        <v>1147332.3671470829</v>
      </c>
      <c r="I1530" s="1273">
        <f t="shared" si="100"/>
        <v>0</v>
      </c>
      <c r="J1530" s="724"/>
      <c r="K1530" s="869"/>
      <c r="L1530" s="729"/>
      <c r="M1530" s="869"/>
      <c r="N1530" s="729"/>
      <c r="O1530" s="729"/>
    </row>
    <row r="1531" spans="1:15">
      <c r="C1531" s="720">
        <f>IF(D1521="","-",+C1530+1)</f>
        <v>2019</v>
      </c>
      <c r="D1531" s="673">
        <f t="shared" si="97"/>
        <v>6385645.6363636376</v>
      </c>
      <c r="E1531" s="726">
        <f t="shared" si="101"/>
        <v>155747.45454545456</v>
      </c>
      <c r="F1531" s="673">
        <f t="shared" si="96"/>
        <v>6229898.1818181835</v>
      </c>
      <c r="G1531" s="1263">
        <f t="shared" si="98"/>
        <v>1123438.7547952363</v>
      </c>
      <c r="H1531" s="1266">
        <f t="shared" si="99"/>
        <v>1123438.7547952363</v>
      </c>
      <c r="I1531" s="724">
        <f t="shared" si="100"/>
        <v>0</v>
      </c>
      <c r="J1531" s="724"/>
      <c r="K1531" s="869"/>
      <c r="L1531" s="729"/>
      <c r="M1531" s="869"/>
      <c r="N1531" s="729"/>
      <c r="O1531" s="729"/>
    </row>
    <row r="1532" spans="1:15">
      <c r="C1532" s="720">
        <f>IF(D1521="","-",+C1531+1)</f>
        <v>2020</v>
      </c>
      <c r="D1532" s="673">
        <f t="shared" si="97"/>
        <v>6229898.1818181835</v>
      </c>
      <c r="E1532" s="726">
        <f t="shared" si="101"/>
        <v>155747.45454545456</v>
      </c>
      <c r="F1532" s="673">
        <f t="shared" si="96"/>
        <v>6074150.7272727294</v>
      </c>
      <c r="G1532" s="1263">
        <f t="shared" si="98"/>
        <v>1099545.1424433901</v>
      </c>
      <c r="H1532" s="1266">
        <f t="shared" si="99"/>
        <v>1099545.1424433901</v>
      </c>
      <c r="I1532" s="724">
        <f t="shared" si="100"/>
        <v>0</v>
      </c>
      <c r="J1532" s="724"/>
      <c r="K1532" s="869"/>
      <c r="L1532" s="729"/>
      <c r="M1532" s="869"/>
      <c r="N1532" s="729"/>
      <c r="O1532" s="729"/>
    </row>
    <row r="1533" spans="1:15">
      <c r="C1533" s="720">
        <f>IF(D1521="","-",+C1532+1)</f>
        <v>2021</v>
      </c>
      <c r="D1533" s="673">
        <f t="shared" si="97"/>
        <v>6074150.7272727294</v>
      </c>
      <c r="E1533" s="726">
        <f t="shared" si="101"/>
        <v>155747.45454545456</v>
      </c>
      <c r="F1533" s="673">
        <f t="shared" si="96"/>
        <v>5918403.2727272753</v>
      </c>
      <c r="G1533" s="1263">
        <f t="shared" si="98"/>
        <v>1075651.5300915434</v>
      </c>
      <c r="H1533" s="1266">
        <f t="shared" si="99"/>
        <v>1075651.5300915434</v>
      </c>
      <c r="I1533" s="724">
        <f t="shared" si="100"/>
        <v>0</v>
      </c>
      <c r="J1533" s="724"/>
      <c r="K1533" s="869"/>
      <c r="L1533" s="729"/>
      <c r="M1533" s="869"/>
      <c r="N1533" s="729"/>
      <c r="O1533" s="729"/>
    </row>
    <row r="1534" spans="1:15">
      <c r="C1534" s="720">
        <f>IF(D1521="","-",+C1533+1)</f>
        <v>2022</v>
      </c>
      <c r="D1534" s="673">
        <f t="shared" si="97"/>
        <v>5918403.2727272753</v>
      </c>
      <c r="E1534" s="726">
        <f t="shared" si="101"/>
        <v>155747.45454545456</v>
      </c>
      <c r="F1534" s="673">
        <f t="shared" si="96"/>
        <v>5762655.8181818211</v>
      </c>
      <c r="G1534" s="1263">
        <f t="shared" si="98"/>
        <v>1051757.9177396973</v>
      </c>
      <c r="H1534" s="1266">
        <f t="shared" si="99"/>
        <v>1051757.9177396973</v>
      </c>
      <c r="I1534" s="724">
        <f t="shared" si="100"/>
        <v>0</v>
      </c>
      <c r="J1534" s="724"/>
      <c r="K1534" s="869"/>
      <c r="L1534" s="729"/>
      <c r="M1534" s="869"/>
      <c r="N1534" s="729"/>
      <c r="O1534" s="729"/>
    </row>
    <row r="1535" spans="1:15">
      <c r="C1535" s="720">
        <f>IF(D1521="","-",+C1534+1)</f>
        <v>2023</v>
      </c>
      <c r="D1535" s="673">
        <f t="shared" si="97"/>
        <v>5762655.8181818211</v>
      </c>
      <c r="E1535" s="726">
        <f t="shared" si="101"/>
        <v>155747.45454545456</v>
      </c>
      <c r="F1535" s="673">
        <f t="shared" si="96"/>
        <v>5606908.363636367</v>
      </c>
      <c r="G1535" s="1263">
        <f t="shared" si="98"/>
        <v>1027864.3053878507</v>
      </c>
      <c r="H1535" s="1266">
        <f t="shared" si="99"/>
        <v>1027864.3053878507</v>
      </c>
      <c r="I1535" s="724">
        <f t="shared" si="100"/>
        <v>0</v>
      </c>
      <c r="J1535" s="724"/>
      <c r="K1535" s="869"/>
      <c r="L1535" s="729"/>
      <c r="M1535" s="869"/>
      <c r="N1535" s="729"/>
      <c r="O1535" s="729"/>
    </row>
    <row r="1536" spans="1:15">
      <c r="C1536" s="720">
        <f>IF(D1521="","-",+C1535+1)</f>
        <v>2024</v>
      </c>
      <c r="D1536" s="673">
        <f t="shared" si="97"/>
        <v>5606908.363636367</v>
      </c>
      <c r="E1536" s="726">
        <f t="shared" si="101"/>
        <v>155747.45454545456</v>
      </c>
      <c r="F1536" s="673">
        <f t="shared" si="96"/>
        <v>5451160.9090909129</v>
      </c>
      <c r="G1536" s="1263">
        <f t="shared" si="98"/>
        <v>1003970.6930360046</v>
      </c>
      <c r="H1536" s="1266">
        <f t="shared" si="99"/>
        <v>1003970.6930360046</v>
      </c>
      <c r="I1536" s="724">
        <f t="shared" si="100"/>
        <v>0</v>
      </c>
      <c r="J1536" s="724"/>
      <c r="K1536" s="869"/>
      <c r="L1536" s="729"/>
      <c r="M1536" s="869"/>
      <c r="N1536" s="729"/>
      <c r="O1536" s="729"/>
    </row>
    <row r="1537" spans="3:15">
      <c r="C1537" s="720">
        <f>IF(D1521="","-",+C1536+1)</f>
        <v>2025</v>
      </c>
      <c r="D1537" s="673">
        <f t="shared" si="97"/>
        <v>5451160.9090909129</v>
      </c>
      <c r="E1537" s="726">
        <f t="shared" si="101"/>
        <v>155747.45454545456</v>
      </c>
      <c r="F1537" s="673">
        <f t="shared" si="96"/>
        <v>5295413.4545454588</v>
      </c>
      <c r="G1537" s="1263">
        <f t="shared" si="98"/>
        <v>980077.08068415802</v>
      </c>
      <c r="H1537" s="1266">
        <f t="shared" si="99"/>
        <v>980077.08068415802</v>
      </c>
      <c r="I1537" s="724">
        <f t="shared" si="100"/>
        <v>0</v>
      </c>
      <c r="J1537" s="724"/>
      <c r="K1537" s="869"/>
      <c r="L1537" s="729"/>
      <c r="M1537" s="869"/>
      <c r="N1537" s="729"/>
      <c r="O1537" s="729"/>
    </row>
    <row r="1538" spans="3:15">
      <c r="C1538" s="720">
        <f>IF(D1521="","-",+C1537+1)</f>
        <v>2026</v>
      </c>
      <c r="D1538" s="673">
        <f t="shared" si="97"/>
        <v>5295413.4545454588</v>
      </c>
      <c r="E1538" s="726">
        <f t="shared" si="101"/>
        <v>155747.45454545456</v>
      </c>
      <c r="F1538" s="673">
        <f t="shared" si="96"/>
        <v>5139666.0000000047</v>
      </c>
      <c r="G1538" s="1263">
        <f t="shared" si="98"/>
        <v>956183.46833231172</v>
      </c>
      <c r="H1538" s="1266">
        <f t="shared" si="99"/>
        <v>956183.46833231172</v>
      </c>
      <c r="I1538" s="724">
        <f t="shared" si="100"/>
        <v>0</v>
      </c>
      <c r="J1538" s="724"/>
      <c r="K1538" s="869"/>
      <c r="L1538" s="729"/>
      <c r="M1538" s="869"/>
      <c r="N1538" s="729"/>
      <c r="O1538" s="729"/>
    </row>
    <row r="1539" spans="3:15">
      <c r="C1539" s="720">
        <f>IF(D1521="","-",+C1538+1)</f>
        <v>2027</v>
      </c>
      <c r="D1539" s="673">
        <f t="shared" si="97"/>
        <v>5139666.0000000047</v>
      </c>
      <c r="E1539" s="726">
        <f t="shared" si="101"/>
        <v>155747.45454545456</v>
      </c>
      <c r="F1539" s="673">
        <f t="shared" si="96"/>
        <v>4983918.5454545505</v>
      </c>
      <c r="G1539" s="1263">
        <f t="shared" si="98"/>
        <v>932289.85598046519</v>
      </c>
      <c r="H1539" s="1266">
        <f t="shared" si="99"/>
        <v>932289.85598046519</v>
      </c>
      <c r="I1539" s="724">
        <f t="shared" si="100"/>
        <v>0</v>
      </c>
      <c r="J1539" s="724"/>
      <c r="K1539" s="869"/>
      <c r="L1539" s="729"/>
      <c r="M1539" s="869"/>
      <c r="N1539" s="729"/>
      <c r="O1539" s="729"/>
    </row>
    <row r="1540" spans="3:15">
      <c r="C1540" s="720">
        <f>IF(D1521="","-",+C1539+1)</f>
        <v>2028</v>
      </c>
      <c r="D1540" s="673">
        <f t="shared" si="97"/>
        <v>4983918.5454545505</v>
      </c>
      <c r="E1540" s="726">
        <f t="shared" si="101"/>
        <v>155747.45454545456</v>
      </c>
      <c r="F1540" s="673">
        <f t="shared" si="96"/>
        <v>4828171.0909090964</v>
      </c>
      <c r="G1540" s="1263">
        <f t="shared" si="98"/>
        <v>908396.24362861889</v>
      </c>
      <c r="H1540" s="1266">
        <f t="shared" si="99"/>
        <v>908396.24362861889</v>
      </c>
      <c r="I1540" s="724">
        <f t="shared" si="100"/>
        <v>0</v>
      </c>
      <c r="J1540" s="724"/>
      <c r="K1540" s="869"/>
      <c r="L1540" s="729"/>
      <c r="M1540" s="869"/>
      <c r="N1540" s="729"/>
      <c r="O1540" s="729"/>
    </row>
    <row r="1541" spans="3:15">
      <c r="C1541" s="720">
        <f>IF(D1521="","-",+C1540+1)</f>
        <v>2029</v>
      </c>
      <c r="D1541" s="673">
        <f t="shared" si="97"/>
        <v>4828171.0909090964</v>
      </c>
      <c r="E1541" s="726">
        <f t="shared" si="101"/>
        <v>155747.45454545456</v>
      </c>
      <c r="F1541" s="673">
        <f t="shared" si="96"/>
        <v>4672423.6363636423</v>
      </c>
      <c r="G1541" s="1263">
        <f t="shared" si="98"/>
        <v>884502.63127677236</v>
      </c>
      <c r="H1541" s="1266">
        <f t="shared" si="99"/>
        <v>884502.63127677236</v>
      </c>
      <c r="I1541" s="724">
        <f t="shared" si="100"/>
        <v>0</v>
      </c>
      <c r="J1541" s="724"/>
      <c r="K1541" s="869"/>
      <c r="L1541" s="729"/>
      <c r="M1541" s="869"/>
      <c r="N1541" s="729"/>
      <c r="O1541" s="729"/>
    </row>
    <row r="1542" spans="3:15">
      <c r="C1542" s="720">
        <f>IF(D1521="","-",+C1541+1)</f>
        <v>2030</v>
      </c>
      <c r="D1542" s="673">
        <f t="shared" si="97"/>
        <v>4672423.6363636423</v>
      </c>
      <c r="E1542" s="726">
        <f t="shared" si="101"/>
        <v>155747.45454545456</v>
      </c>
      <c r="F1542" s="673">
        <f t="shared" si="96"/>
        <v>4516676.1818181882</v>
      </c>
      <c r="G1542" s="1263">
        <f t="shared" si="98"/>
        <v>860609.01892492617</v>
      </c>
      <c r="H1542" s="1266">
        <f t="shared" si="99"/>
        <v>860609.01892492617</v>
      </c>
      <c r="I1542" s="724">
        <f t="shared" si="100"/>
        <v>0</v>
      </c>
      <c r="J1542" s="724"/>
      <c r="K1542" s="869"/>
      <c r="L1542" s="729"/>
      <c r="M1542" s="869"/>
      <c r="N1542" s="729"/>
      <c r="O1542" s="729"/>
    </row>
    <row r="1543" spans="3:15">
      <c r="C1543" s="720">
        <f>IF(D1521="","-",+C1542+1)</f>
        <v>2031</v>
      </c>
      <c r="D1543" s="673">
        <f t="shared" si="97"/>
        <v>4516676.1818181882</v>
      </c>
      <c r="E1543" s="726">
        <f t="shared" si="101"/>
        <v>155747.45454545456</v>
      </c>
      <c r="F1543" s="673">
        <f t="shared" si="96"/>
        <v>4360928.727272734</v>
      </c>
      <c r="G1543" s="1263">
        <f t="shared" si="98"/>
        <v>836715.40657307964</v>
      </c>
      <c r="H1543" s="1266">
        <f t="shared" si="99"/>
        <v>836715.40657307964</v>
      </c>
      <c r="I1543" s="724">
        <f t="shared" si="100"/>
        <v>0</v>
      </c>
      <c r="J1543" s="724"/>
      <c r="K1543" s="869"/>
      <c r="L1543" s="729"/>
      <c r="M1543" s="869"/>
      <c r="N1543" s="729"/>
      <c r="O1543" s="729"/>
    </row>
    <row r="1544" spans="3:15">
      <c r="C1544" s="720">
        <f>IF(D1521="","-",+C1543+1)</f>
        <v>2032</v>
      </c>
      <c r="D1544" s="673">
        <f t="shared" si="97"/>
        <v>4360928.727272734</v>
      </c>
      <c r="E1544" s="726">
        <f t="shared" si="101"/>
        <v>155747.45454545456</v>
      </c>
      <c r="F1544" s="673">
        <f t="shared" si="96"/>
        <v>4205181.2727272799</v>
      </c>
      <c r="G1544" s="1263">
        <f t="shared" si="98"/>
        <v>812821.79422123334</v>
      </c>
      <c r="H1544" s="1266">
        <f t="shared" si="99"/>
        <v>812821.79422123334</v>
      </c>
      <c r="I1544" s="724">
        <f t="shared" si="100"/>
        <v>0</v>
      </c>
      <c r="J1544" s="724"/>
      <c r="K1544" s="869"/>
      <c r="L1544" s="729"/>
      <c r="M1544" s="869"/>
      <c r="N1544" s="729"/>
      <c r="O1544" s="729"/>
    </row>
    <row r="1545" spans="3:15">
      <c r="C1545" s="720">
        <f>IF(D1521="","-",+C1544+1)</f>
        <v>2033</v>
      </c>
      <c r="D1545" s="673">
        <f t="shared" si="97"/>
        <v>4205181.2727272799</v>
      </c>
      <c r="E1545" s="726">
        <f t="shared" si="101"/>
        <v>155747.45454545456</v>
      </c>
      <c r="F1545" s="673">
        <f t="shared" si="96"/>
        <v>4049433.8181818253</v>
      </c>
      <c r="G1545" s="1263">
        <f t="shared" si="98"/>
        <v>788928.18186938681</v>
      </c>
      <c r="H1545" s="1266">
        <f t="shared" si="99"/>
        <v>788928.18186938681</v>
      </c>
      <c r="I1545" s="724">
        <f t="shared" si="100"/>
        <v>0</v>
      </c>
      <c r="J1545" s="724"/>
      <c r="K1545" s="869"/>
      <c r="L1545" s="729"/>
      <c r="M1545" s="869"/>
      <c r="N1545" s="729"/>
      <c r="O1545" s="729"/>
    </row>
    <row r="1546" spans="3:15">
      <c r="C1546" s="720">
        <f>IF(D1521="","-",+C1545+1)</f>
        <v>2034</v>
      </c>
      <c r="D1546" s="673">
        <f t="shared" si="97"/>
        <v>4049433.8181818253</v>
      </c>
      <c r="E1546" s="726">
        <f t="shared" si="101"/>
        <v>155747.45454545456</v>
      </c>
      <c r="F1546" s="673">
        <f t="shared" si="96"/>
        <v>3893686.3636363707</v>
      </c>
      <c r="G1546" s="1263">
        <f t="shared" si="98"/>
        <v>765034.5695175404</v>
      </c>
      <c r="H1546" s="1266">
        <f t="shared" si="99"/>
        <v>765034.5695175404</v>
      </c>
      <c r="I1546" s="724">
        <f t="shared" si="100"/>
        <v>0</v>
      </c>
      <c r="J1546" s="724"/>
      <c r="K1546" s="869"/>
      <c r="L1546" s="729"/>
      <c r="M1546" s="869"/>
      <c r="N1546" s="729"/>
      <c r="O1546" s="729"/>
    </row>
    <row r="1547" spans="3:15">
      <c r="C1547" s="720">
        <f>IF(D1521="","-",+C1546+1)</f>
        <v>2035</v>
      </c>
      <c r="D1547" s="673">
        <f t="shared" si="97"/>
        <v>3893686.3636363707</v>
      </c>
      <c r="E1547" s="726">
        <f t="shared" si="101"/>
        <v>155747.45454545456</v>
      </c>
      <c r="F1547" s="673">
        <f t="shared" si="96"/>
        <v>3737938.9090909162</v>
      </c>
      <c r="G1547" s="1263">
        <f t="shared" si="98"/>
        <v>741140.95716569386</v>
      </c>
      <c r="H1547" s="1266">
        <f t="shared" si="99"/>
        <v>741140.95716569386</v>
      </c>
      <c r="I1547" s="724">
        <f t="shared" si="100"/>
        <v>0</v>
      </c>
      <c r="J1547" s="724"/>
      <c r="K1547" s="869"/>
      <c r="L1547" s="729"/>
      <c r="M1547" s="869"/>
      <c r="N1547" s="729"/>
      <c r="O1547" s="729"/>
    </row>
    <row r="1548" spans="3:15">
      <c r="C1548" s="720">
        <f>IF(D1521="","-",+C1547+1)</f>
        <v>2036</v>
      </c>
      <c r="D1548" s="673">
        <f t="shared" si="97"/>
        <v>3737938.9090909162</v>
      </c>
      <c r="E1548" s="726">
        <f t="shared" si="101"/>
        <v>155747.45454545456</v>
      </c>
      <c r="F1548" s="673">
        <f t="shared" si="96"/>
        <v>3582191.4545454616</v>
      </c>
      <c r="G1548" s="1263">
        <f t="shared" si="98"/>
        <v>717247.34481384745</v>
      </c>
      <c r="H1548" s="1266">
        <f t="shared" si="99"/>
        <v>717247.34481384745</v>
      </c>
      <c r="I1548" s="724">
        <f t="shared" si="100"/>
        <v>0</v>
      </c>
      <c r="J1548" s="724"/>
      <c r="K1548" s="869"/>
      <c r="L1548" s="729"/>
      <c r="M1548" s="869"/>
      <c r="N1548" s="729"/>
      <c r="O1548" s="729"/>
    </row>
    <row r="1549" spans="3:15">
      <c r="C1549" s="720">
        <f>IF(D1521="","-",+C1548+1)</f>
        <v>2037</v>
      </c>
      <c r="D1549" s="673">
        <f t="shared" si="97"/>
        <v>3582191.4545454616</v>
      </c>
      <c r="E1549" s="726">
        <f t="shared" si="101"/>
        <v>155747.45454545456</v>
      </c>
      <c r="F1549" s="673">
        <f t="shared" si="96"/>
        <v>3426444.000000007</v>
      </c>
      <c r="G1549" s="1263">
        <f t="shared" si="98"/>
        <v>693353.73246200092</v>
      </c>
      <c r="H1549" s="1266">
        <f t="shared" si="99"/>
        <v>693353.73246200092</v>
      </c>
      <c r="I1549" s="724">
        <f t="shared" si="100"/>
        <v>0</v>
      </c>
      <c r="J1549" s="724"/>
      <c r="K1549" s="869"/>
      <c r="L1549" s="729"/>
      <c r="M1549" s="869"/>
      <c r="N1549" s="729"/>
      <c r="O1549" s="729"/>
    </row>
    <row r="1550" spans="3:15">
      <c r="C1550" s="720">
        <f>IF(D1521="","-",+C1549+1)</f>
        <v>2038</v>
      </c>
      <c r="D1550" s="673">
        <f t="shared" si="97"/>
        <v>3426444.000000007</v>
      </c>
      <c r="E1550" s="726">
        <f t="shared" si="101"/>
        <v>155747.45454545456</v>
      </c>
      <c r="F1550" s="673">
        <f t="shared" si="96"/>
        <v>3270696.5454545524</v>
      </c>
      <c r="G1550" s="1263">
        <f t="shared" si="98"/>
        <v>669460.1201101545</v>
      </c>
      <c r="H1550" s="1266">
        <f t="shared" si="99"/>
        <v>669460.1201101545</v>
      </c>
      <c r="I1550" s="724">
        <f t="shared" si="100"/>
        <v>0</v>
      </c>
      <c r="J1550" s="724"/>
      <c r="K1550" s="869"/>
      <c r="L1550" s="729"/>
      <c r="M1550" s="869"/>
      <c r="N1550" s="729"/>
      <c r="O1550" s="729"/>
    </row>
    <row r="1551" spans="3:15">
      <c r="C1551" s="720">
        <f>IF(D1521="","-",+C1550+1)</f>
        <v>2039</v>
      </c>
      <c r="D1551" s="673">
        <f t="shared" si="97"/>
        <v>3270696.5454545524</v>
      </c>
      <c r="E1551" s="726">
        <f t="shared" si="101"/>
        <v>155747.45454545456</v>
      </c>
      <c r="F1551" s="673">
        <f t="shared" si="96"/>
        <v>3114949.0909090978</v>
      </c>
      <c r="G1551" s="1263">
        <f t="shared" si="98"/>
        <v>645566.50775830797</v>
      </c>
      <c r="H1551" s="1266">
        <f t="shared" si="99"/>
        <v>645566.50775830797</v>
      </c>
      <c r="I1551" s="724">
        <f t="shared" si="100"/>
        <v>0</v>
      </c>
      <c r="J1551" s="724"/>
      <c r="K1551" s="869"/>
      <c r="L1551" s="729"/>
      <c r="M1551" s="869"/>
      <c r="N1551" s="729"/>
      <c r="O1551" s="729"/>
    </row>
    <row r="1552" spans="3:15">
      <c r="C1552" s="720">
        <f>IF(D1521="","-",+C1551+1)</f>
        <v>2040</v>
      </c>
      <c r="D1552" s="673">
        <f t="shared" si="97"/>
        <v>3114949.0909090978</v>
      </c>
      <c r="E1552" s="726">
        <f t="shared" si="101"/>
        <v>155747.45454545456</v>
      </c>
      <c r="F1552" s="673">
        <f t="shared" si="96"/>
        <v>2959201.6363636432</v>
      </c>
      <c r="G1552" s="1263">
        <f t="shared" si="98"/>
        <v>621672.89540646155</v>
      </c>
      <c r="H1552" s="1266">
        <f t="shared" si="99"/>
        <v>621672.89540646155</v>
      </c>
      <c r="I1552" s="724">
        <f t="shared" si="100"/>
        <v>0</v>
      </c>
      <c r="J1552" s="724"/>
      <c r="K1552" s="869"/>
      <c r="L1552" s="729"/>
      <c r="M1552" s="869"/>
      <c r="N1552" s="729"/>
      <c r="O1552" s="729"/>
    </row>
    <row r="1553" spans="3:15">
      <c r="C1553" s="720">
        <f>IF(D1521="","-",+C1552+1)</f>
        <v>2041</v>
      </c>
      <c r="D1553" s="673">
        <f t="shared" si="97"/>
        <v>2959201.6363636432</v>
      </c>
      <c r="E1553" s="726">
        <f t="shared" si="101"/>
        <v>155747.45454545456</v>
      </c>
      <c r="F1553" s="673">
        <f t="shared" si="96"/>
        <v>2803454.1818181886</v>
      </c>
      <c r="G1553" s="1263">
        <f t="shared" si="98"/>
        <v>597779.28305461502</v>
      </c>
      <c r="H1553" s="1266">
        <f t="shared" si="99"/>
        <v>597779.28305461502</v>
      </c>
      <c r="I1553" s="724">
        <f t="shared" si="100"/>
        <v>0</v>
      </c>
      <c r="J1553" s="724"/>
      <c r="K1553" s="869"/>
      <c r="L1553" s="729"/>
      <c r="M1553" s="869"/>
      <c r="N1553" s="729"/>
      <c r="O1553" s="729"/>
    </row>
    <row r="1554" spans="3:15">
      <c r="C1554" s="720">
        <f>IF(D1521="","-",+C1553+1)</f>
        <v>2042</v>
      </c>
      <c r="D1554" s="673">
        <f t="shared" si="97"/>
        <v>2803454.1818181886</v>
      </c>
      <c r="E1554" s="726">
        <f t="shared" si="101"/>
        <v>155747.45454545456</v>
      </c>
      <c r="F1554" s="673">
        <f t="shared" si="96"/>
        <v>2647706.727272734</v>
      </c>
      <c r="G1554" s="1263">
        <f t="shared" si="98"/>
        <v>573885.67070276872</v>
      </c>
      <c r="H1554" s="1266">
        <f t="shared" si="99"/>
        <v>573885.67070276872</v>
      </c>
      <c r="I1554" s="724">
        <f t="shared" si="100"/>
        <v>0</v>
      </c>
      <c r="J1554" s="724"/>
      <c r="K1554" s="869"/>
      <c r="L1554" s="729"/>
      <c r="M1554" s="869"/>
      <c r="N1554" s="729"/>
      <c r="O1554" s="729"/>
    </row>
    <row r="1555" spans="3:15">
      <c r="C1555" s="720">
        <f>IF(D1521="","-",+C1554+1)</f>
        <v>2043</v>
      </c>
      <c r="D1555" s="673">
        <f t="shared" si="97"/>
        <v>2647706.727272734</v>
      </c>
      <c r="E1555" s="726">
        <f t="shared" si="101"/>
        <v>155747.45454545456</v>
      </c>
      <c r="F1555" s="673">
        <f t="shared" si="96"/>
        <v>2491959.2727272795</v>
      </c>
      <c r="G1555" s="1264">
        <f t="shared" si="98"/>
        <v>549992.05835092219</v>
      </c>
      <c r="H1555" s="1266">
        <f t="shared" si="99"/>
        <v>549992.05835092219</v>
      </c>
      <c r="I1555" s="724">
        <f t="shared" si="100"/>
        <v>0</v>
      </c>
      <c r="J1555" s="724"/>
      <c r="K1555" s="869"/>
      <c r="L1555" s="729"/>
      <c r="M1555" s="869"/>
      <c r="N1555" s="729"/>
      <c r="O1555" s="729"/>
    </row>
    <row r="1556" spans="3:15">
      <c r="C1556" s="720">
        <f>IF(D1521="","-",+C1555+1)</f>
        <v>2044</v>
      </c>
      <c r="D1556" s="673">
        <f t="shared" si="97"/>
        <v>2491959.2727272795</v>
      </c>
      <c r="E1556" s="726">
        <f t="shared" si="101"/>
        <v>155747.45454545456</v>
      </c>
      <c r="F1556" s="673">
        <f t="shared" si="96"/>
        <v>2336211.8181818249</v>
      </c>
      <c r="G1556" s="1263">
        <f t="shared" si="98"/>
        <v>526098.44599907578</v>
      </c>
      <c r="H1556" s="1266">
        <f t="shared" si="99"/>
        <v>526098.44599907578</v>
      </c>
      <c r="I1556" s="724">
        <f t="shared" si="100"/>
        <v>0</v>
      </c>
      <c r="J1556" s="724"/>
      <c r="K1556" s="869"/>
      <c r="L1556" s="729"/>
      <c r="M1556" s="869"/>
      <c r="N1556" s="729"/>
      <c r="O1556" s="729"/>
    </row>
    <row r="1557" spans="3:15">
      <c r="C1557" s="720">
        <f>IF(D1521="","-",+C1556+1)</f>
        <v>2045</v>
      </c>
      <c r="D1557" s="673">
        <f t="shared" si="97"/>
        <v>2336211.8181818249</v>
      </c>
      <c r="E1557" s="726">
        <f t="shared" si="101"/>
        <v>155747.45454545456</v>
      </c>
      <c r="F1557" s="673">
        <f t="shared" si="96"/>
        <v>2180464.3636363703</v>
      </c>
      <c r="G1557" s="1263">
        <f t="shared" si="98"/>
        <v>502204.83364722924</v>
      </c>
      <c r="H1557" s="1266">
        <f t="shared" si="99"/>
        <v>502204.83364722924</v>
      </c>
      <c r="I1557" s="724">
        <f t="shared" si="100"/>
        <v>0</v>
      </c>
      <c r="J1557" s="724"/>
      <c r="K1557" s="869"/>
      <c r="L1557" s="729"/>
      <c r="M1557" s="869"/>
      <c r="N1557" s="729"/>
      <c r="O1557" s="729"/>
    </row>
    <row r="1558" spans="3:15">
      <c r="C1558" s="720">
        <f>IF(D1521="","-",+C1557+1)</f>
        <v>2046</v>
      </c>
      <c r="D1558" s="673">
        <f t="shared" si="97"/>
        <v>2180464.3636363703</v>
      </c>
      <c r="E1558" s="726">
        <f t="shared" si="101"/>
        <v>155747.45454545456</v>
      </c>
      <c r="F1558" s="673">
        <f t="shared" si="96"/>
        <v>2024716.9090909157</v>
      </c>
      <c r="G1558" s="1263">
        <f t="shared" si="98"/>
        <v>478311.22129538283</v>
      </c>
      <c r="H1558" s="1266">
        <f t="shared" si="99"/>
        <v>478311.22129538283</v>
      </c>
      <c r="I1558" s="724">
        <f t="shared" si="100"/>
        <v>0</v>
      </c>
      <c r="J1558" s="724"/>
      <c r="K1558" s="869"/>
      <c r="L1558" s="729"/>
      <c r="M1558" s="869"/>
      <c r="N1558" s="729"/>
      <c r="O1558" s="729"/>
    </row>
    <row r="1559" spans="3:15">
      <c r="C1559" s="720">
        <f>IF(D1521="","-",+C1558+1)</f>
        <v>2047</v>
      </c>
      <c r="D1559" s="673">
        <f t="shared" si="97"/>
        <v>2024716.9090909157</v>
      </c>
      <c r="E1559" s="726">
        <f t="shared" si="101"/>
        <v>155747.45454545456</v>
      </c>
      <c r="F1559" s="673">
        <f t="shared" si="96"/>
        <v>1868969.4545454611</v>
      </c>
      <c r="G1559" s="1263">
        <f t="shared" si="98"/>
        <v>454417.6089435363</v>
      </c>
      <c r="H1559" s="1266">
        <f t="shared" si="99"/>
        <v>454417.6089435363</v>
      </c>
      <c r="I1559" s="724">
        <f t="shared" si="100"/>
        <v>0</v>
      </c>
      <c r="J1559" s="724"/>
      <c r="K1559" s="869"/>
      <c r="L1559" s="729"/>
      <c r="M1559" s="869"/>
      <c r="N1559" s="729"/>
      <c r="O1559" s="729"/>
    </row>
    <row r="1560" spans="3:15">
      <c r="C1560" s="720">
        <f>IF(D1521="","-",+C1559+1)</f>
        <v>2048</v>
      </c>
      <c r="D1560" s="673">
        <f t="shared" si="97"/>
        <v>1868969.4545454611</v>
      </c>
      <c r="E1560" s="726">
        <f t="shared" si="101"/>
        <v>155747.45454545456</v>
      </c>
      <c r="F1560" s="673">
        <f t="shared" si="96"/>
        <v>1713222.0000000065</v>
      </c>
      <c r="G1560" s="1263">
        <f t="shared" si="98"/>
        <v>430523.99659168988</v>
      </c>
      <c r="H1560" s="1266">
        <f t="shared" si="99"/>
        <v>430523.99659168988</v>
      </c>
      <c r="I1560" s="724">
        <f t="shared" si="100"/>
        <v>0</v>
      </c>
      <c r="J1560" s="724"/>
      <c r="K1560" s="869"/>
      <c r="L1560" s="729"/>
      <c r="M1560" s="869"/>
      <c r="N1560" s="729"/>
      <c r="O1560" s="729"/>
    </row>
    <row r="1561" spans="3:15">
      <c r="C1561" s="720">
        <f>IF(D1521="","-",+C1560+1)</f>
        <v>2049</v>
      </c>
      <c r="D1561" s="673">
        <f t="shared" si="97"/>
        <v>1713222.0000000065</v>
      </c>
      <c r="E1561" s="726">
        <f t="shared" si="101"/>
        <v>155747.45454545456</v>
      </c>
      <c r="F1561" s="673">
        <f t="shared" si="96"/>
        <v>1557474.5454545519</v>
      </c>
      <c r="G1561" s="1263">
        <f t="shared" si="98"/>
        <v>406630.38423984335</v>
      </c>
      <c r="H1561" s="1266">
        <f t="shared" si="99"/>
        <v>406630.38423984335</v>
      </c>
      <c r="I1561" s="724">
        <f t="shared" si="100"/>
        <v>0</v>
      </c>
      <c r="J1561" s="724"/>
      <c r="K1561" s="869"/>
      <c r="L1561" s="729"/>
      <c r="M1561" s="869"/>
      <c r="N1561" s="729"/>
      <c r="O1561" s="729"/>
    </row>
    <row r="1562" spans="3:15">
      <c r="C1562" s="720">
        <f>IF(D1521="","-",+C1561+1)</f>
        <v>2050</v>
      </c>
      <c r="D1562" s="673">
        <f t="shared" si="97"/>
        <v>1557474.5454545519</v>
      </c>
      <c r="E1562" s="726">
        <f t="shared" si="101"/>
        <v>155747.45454545456</v>
      </c>
      <c r="F1562" s="673">
        <f t="shared" si="96"/>
        <v>1401727.0909090973</v>
      </c>
      <c r="G1562" s="1263">
        <f t="shared" si="98"/>
        <v>382736.77188799693</v>
      </c>
      <c r="H1562" s="1266">
        <f t="shared" si="99"/>
        <v>382736.77188799693</v>
      </c>
      <c r="I1562" s="724">
        <f t="shared" si="100"/>
        <v>0</v>
      </c>
      <c r="J1562" s="724"/>
      <c r="K1562" s="869"/>
      <c r="L1562" s="729"/>
      <c r="M1562" s="869"/>
      <c r="N1562" s="729"/>
      <c r="O1562" s="729"/>
    </row>
    <row r="1563" spans="3:15">
      <c r="C1563" s="720">
        <f>IF(D1521="","-",+C1562+1)</f>
        <v>2051</v>
      </c>
      <c r="D1563" s="673">
        <f t="shared" si="97"/>
        <v>1401727.0909090973</v>
      </c>
      <c r="E1563" s="726">
        <f t="shared" si="101"/>
        <v>155747.45454545456</v>
      </c>
      <c r="F1563" s="673">
        <f t="shared" si="96"/>
        <v>1245979.6363636428</v>
      </c>
      <c r="G1563" s="1263">
        <f t="shared" si="98"/>
        <v>358843.15953615046</v>
      </c>
      <c r="H1563" s="1266">
        <f t="shared" si="99"/>
        <v>358843.15953615046</v>
      </c>
      <c r="I1563" s="724">
        <f t="shared" si="100"/>
        <v>0</v>
      </c>
      <c r="J1563" s="724"/>
      <c r="K1563" s="869"/>
      <c r="L1563" s="729"/>
      <c r="M1563" s="869"/>
      <c r="N1563" s="729"/>
      <c r="O1563" s="729"/>
    </row>
    <row r="1564" spans="3:15">
      <c r="C1564" s="720">
        <f>IF(D1521="","-",+C1563+1)</f>
        <v>2052</v>
      </c>
      <c r="D1564" s="673">
        <f t="shared" si="97"/>
        <v>1245979.6363636428</v>
      </c>
      <c r="E1564" s="726">
        <f t="shared" si="101"/>
        <v>155747.45454545456</v>
      </c>
      <c r="F1564" s="673">
        <f t="shared" si="96"/>
        <v>1090232.1818181882</v>
      </c>
      <c r="G1564" s="1263">
        <f t="shared" si="98"/>
        <v>334949.54718430398</v>
      </c>
      <c r="H1564" s="1266">
        <f t="shared" si="99"/>
        <v>334949.54718430398</v>
      </c>
      <c r="I1564" s="724">
        <f t="shared" si="100"/>
        <v>0</v>
      </c>
      <c r="J1564" s="724"/>
      <c r="K1564" s="869"/>
      <c r="L1564" s="729"/>
      <c r="M1564" s="869"/>
      <c r="N1564" s="729"/>
      <c r="O1564" s="729"/>
    </row>
    <row r="1565" spans="3:15">
      <c r="C1565" s="720">
        <f>IF(D1521="","-",+C1564+1)</f>
        <v>2053</v>
      </c>
      <c r="D1565" s="673">
        <f t="shared" si="97"/>
        <v>1090232.1818181882</v>
      </c>
      <c r="E1565" s="726">
        <f t="shared" si="101"/>
        <v>155747.45454545456</v>
      </c>
      <c r="F1565" s="673">
        <f t="shared" si="96"/>
        <v>934484.72727273358</v>
      </c>
      <c r="G1565" s="1263">
        <f t="shared" si="98"/>
        <v>311055.93483245751</v>
      </c>
      <c r="H1565" s="1266">
        <f t="shared" si="99"/>
        <v>311055.93483245751</v>
      </c>
      <c r="I1565" s="724">
        <f t="shared" si="100"/>
        <v>0</v>
      </c>
      <c r="J1565" s="724"/>
      <c r="K1565" s="869"/>
      <c r="L1565" s="729"/>
      <c r="M1565" s="869"/>
      <c r="N1565" s="729"/>
      <c r="O1565" s="729"/>
    </row>
    <row r="1566" spans="3:15">
      <c r="C1566" s="720">
        <f>IF(D1521="","-",+C1565+1)</f>
        <v>2054</v>
      </c>
      <c r="D1566" s="673">
        <f t="shared" si="97"/>
        <v>934484.72727273358</v>
      </c>
      <c r="E1566" s="726">
        <f t="shared" si="101"/>
        <v>155747.45454545456</v>
      </c>
      <c r="F1566" s="673">
        <f t="shared" si="96"/>
        <v>778737.27272727899</v>
      </c>
      <c r="G1566" s="1263">
        <f t="shared" si="98"/>
        <v>287162.32248061104</v>
      </c>
      <c r="H1566" s="1266">
        <f t="shared" si="99"/>
        <v>287162.32248061104</v>
      </c>
      <c r="I1566" s="724">
        <f t="shared" si="100"/>
        <v>0</v>
      </c>
      <c r="J1566" s="724"/>
      <c r="K1566" s="869"/>
      <c r="L1566" s="729"/>
      <c r="M1566" s="869"/>
      <c r="N1566" s="729"/>
      <c r="O1566" s="729"/>
    </row>
    <row r="1567" spans="3:15">
      <c r="C1567" s="720">
        <f>IF(D1521="","-",+C1566+1)</f>
        <v>2055</v>
      </c>
      <c r="D1567" s="673">
        <f t="shared" si="97"/>
        <v>778737.27272727899</v>
      </c>
      <c r="E1567" s="726">
        <f t="shared" si="101"/>
        <v>155747.45454545456</v>
      </c>
      <c r="F1567" s="673">
        <f t="shared" si="96"/>
        <v>622989.8181818244</v>
      </c>
      <c r="G1567" s="1263">
        <f t="shared" si="98"/>
        <v>263268.71012876456</v>
      </c>
      <c r="H1567" s="1266">
        <f t="shared" si="99"/>
        <v>263268.71012876456</v>
      </c>
      <c r="I1567" s="724">
        <f t="shared" si="100"/>
        <v>0</v>
      </c>
      <c r="J1567" s="724"/>
      <c r="K1567" s="869"/>
      <c r="L1567" s="729"/>
      <c r="M1567" s="869"/>
      <c r="N1567" s="729"/>
      <c r="O1567" s="729"/>
    </row>
    <row r="1568" spans="3:15">
      <c r="C1568" s="720">
        <f>IF(D1521="","-",+C1567+1)</f>
        <v>2056</v>
      </c>
      <c r="D1568" s="673">
        <f t="shared" si="97"/>
        <v>622989.8181818244</v>
      </c>
      <c r="E1568" s="726">
        <f t="shared" si="101"/>
        <v>155747.45454545456</v>
      </c>
      <c r="F1568" s="673">
        <f t="shared" si="96"/>
        <v>467242.36363636982</v>
      </c>
      <c r="G1568" s="1263">
        <f t="shared" si="98"/>
        <v>239375.09777691812</v>
      </c>
      <c r="H1568" s="1266">
        <f t="shared" si="99"/>
        <v>239375.09777691812</v>
      </c>
      <c r="I1568" s="724">
        <f t="shared" si="100"/>
        <v>0</v>
      </c>
      <c r="J1568" s="724"/>
      <c r="K1568" s="869"/>
      <c r="L1568" s="729"/>
      <c r="M1568" s="869"/>
      <c r="N1568" s="729"/>
      <c r="O1568" s="729"/>
    </row>
    <row r="1569" spans="3:15">
      <c r="C1569" s="720">
        <f>IF(D1521="","-",+C1568+1)</f>
        <v>2057</v>
      </c>
      <c r="D1569" s="673">
        <f t="shared" si="97"/>
        <v>467242.36363636982</v>
      </c>
      <c r="E1569" s="726">
        <f t="shared" si="101"/>
        <v>155747.45454545456</v>
      </c>
      <c r="F1569" s="673">
        <f t="shared" si="96"/>
        <v>311494.90909091523</v>
      </c>
      <c r="G1569" s="1263">
        <f t="shared" si="98"/>
        <v>215481.48542507165</v>
      </c>
      <c r="H1569" s="1266">
        <f t="shared" si="99"/>
        <v>215481.48542507165</v>
      </c>
      <c r="I1569" s="724">
        <f t="shared" si="100"/>
        <v>0</v>
      </c>
      <c r="J1569" s="724"/>
      <c r="K1569" s="869"/>
      <c r="L1569" s="729"/>
      <c r="M1569" s="869"/>
      <c r="N1569" s="729"/>
      <c r="O1569" s="729"/>
    </row>
    <row r="1570" spans="3:15">
      <c r="C1570" s="720">
        <f>IF(D1521="","-",+C1569+1)</f>
        <v>2058</v>
      </c>
      <c r="D1570" s="673">
        <f t="shared" si="97"/>
        <v>311494.90909091523</v>
      </c>
      <c r="E1570" s="726">
        <f t="shared" si="101"/>
        <v>155747.45454545456</v>
      </c>
      <c r="F1570" s="673">
        <f t="shared" si="96"/>
        <v>155747.45454546067</v>
      </c>
      <c r="G1570" s="1263">
        <f t="shared" si="98"/>
        <v>191587.8730732252</v>
      </c>
      <c r="H1570" s="1266">
        <f t="shared" si="99"/>
        <v>191587.8730732252</v>
      </c>
      <c r="I1570" s="724">
        <f t="shared" si="100"/>
        <v>0</v>
      </c>
      <c r="J1570" s="724"/>
      <c r="K1570" s="869"/>
      <c r="L1570" s="729"/>
      <c r="M1570" s="869"/>
      <c r="N1570" s="729"/>
      <c r="O1570" s="729"/>
    </row>
    <row r="1571" spans="3:15">
      <c r="C1571" s="720">
        <f>IF(D1521="","-",+C1570+1)</f>
        <v>2059</v>
      </c>
      <c r="D1571" s="673">
        <f t="shared" si="97"/>
        <v>155747.45454546067</v>
      </c>
      <c r="E1571" s="726">
        <f t="shared" si="101"/>
        <v>155747.45454545456</v>
      </c>
      <c r="F1571" s="673">
        <f t="shared" si="96"/>
        <v>6.1118043959140778E-9</v>
      </c>
      <c r="G1571" s="1263">
        <f t="shared" si="98"/>
        <v>167694.26072137873</v>
      </c>
      <c r="H1571" s="1266">
        <f t="shared" si="99"/>
        <v>167694.26072137873</v>
      </c>
      <c r="I1571" s="724">
        <f t="shared" si="100"/>
        <v>0</v>
      </c>
      <c r="J1571" s="724"/>
      <c r="K1571" s="869"/>
      <c r="L1571" s="729"/>
      <c r="M1571" s="869"/>
      <c r="N1571" s="729"/>
      <c r="O1571" s="729"/>
    </row>
    <row r="1572" spans="3:15">
      <c r="C1572" s="720">
        <f>IF(D1521="","-",+C1571+1)</f>
        <v>2060</v>
      </c>
      <c r="D1572" s="673">
        <f t="shared" si="97"/>
        <v>6.1118043959140778E-9</v>
      </c>
      <c r="E1572" s="726">
        <f t="shared" si="101"/>
        <v>6.1118043959140778E-9</v>
      </c>
      <c r="F1572" s="673">
        <f t="shared" si="96"/>
        <v>0</v>
      </c>
      <c r="G1572" s="1263">
        <f t="shared" si="98"/>
        <v>6.5806181092183383E-9</v>
      </c>
      <c r="H1572" s="1266">
        <f t="shared" si="99"/>
        <v>6.5806181092183383E-9</v>
      </c>
      <c r="I1572" s="724">
        <f t="shared" si="100"/>
        <v>0</v>
      </c>
      <c r="J1572" s="724"/>
      <c r="K1572" s="869"/>
      <c r="L1572" s="729"/>
      <c r="M1572" s="869"/>
      <c r="N1572" s="729"/>
      <c r="O1572" s="729"/>
    </row>
    <row r="1573" spans="3:15">
      <c r="C1573" s="720">
        <f>IF(D1521="","-",+C1572+1)</f>
        <v>2061</v>
      </c>
      <c r="D1573" s="673">
        <f t="shared" si="97"/>
        <v>0</v>
      </c>
      <c r="E1573" s="726">
        <f t="shared" si="101"/>
        <v>0</v>
      </c>
      <c r="F1573" s="673">
        <f t="shared" si="96"/>
        <v>0</v>
      </c>
      <c r="G1573" s="1263">
        <f t="shared" si="98"/>
        <v>0</v>
      </c>
      <c r="H1573" s="1266">
        <f t="shared" si="99"/>
        <v>0</v>
      </c>
      <c r="I1573" s="724">
        <f t="shared" si="100"/>
        <v>0</v>
      </c>
      <c r="J1573" s="724"/>
      <c r="K1573" s="869"/>
      <c r="L1573" s="729"/>
      <c r="M1573" s="869"/>
      <c r="N1573" s="729"/>
      <c r="O1573" s="729"/>
    </row>
    <row r="1574" spans="3:15">
      <c r="C1574" s="720">
        <f>IF(D1521="","-",+C1573+1)</f>
        <v>2062</v>
      </c>
      <c r="D1574" s="673">
        <f t="shared" si="97"/>
        <v>0</v>
      </c>
      <c r="E1574" s="726">
        <f t="shared" si="101"/>
        <v>0</v>
      </c>
      <c r="F1574" s="673">
        <f t="shared" si="96"/>
        <v>0</v>
      </c>
      <c r="G1574" s="1263">
        <f t="shared" si="98"/>
        <v>0</v>
      </c>
      <c r="H1574" s="1266">
        <f t="shared" si="99"/>
        <v>0</v>
      </c>
      <c r="I1574" s="724">
        <f t="shared" si="100"/>
        <v>0</v>
      </c>
      <c r="J1574" s="724"/>
      <c r="K1574" s="869"/>
      <c r="L1574" s="729"/>
      <c r="M1574" s="869"/>
      <c r="N1574" s="729"/>
      <c r="O1574" s="729"/>
    </row>
    <row r="1575" spans="3:15">
      <c r="C1575" s="720">
        <f>IF(D1521="","-",+C1574+1)</f>
        <v>2063</v>
      </c>
      <c r="D1575" s="673">
        <f t="shared" si="97"/>
        <v>0</v>
      </c>
      <c r="E1575" s="726">
        <f t="shared" si="101"/>
        <v>0</v>
      </c>
      <c r="F1575" s="673">
        <f t="shared" si="96"/>
        <v>0</v>
      </c>
      <c r="G1575" s="1263">
        <f t="shared" si="98"/>
        <v>0</v>
      </c>
      <c r="H1575" s="1266">
        <f t="shared" si="99"/>
        <v>0</v>
      </c>
      <c r="I1575" s="724">
        <f t="shared" si="100"/>
        <v>0</v>
      </c>
      <c r="J1575" s="724"/>
      <c r="K1575" s="869"/>
      <c r="L1575" s="729"/>
      <c r="M1575" s="869"/>
      <c r="N1575" s="729"/>
      <c r="O1575" s="729"/>
    </row>
    <row r="1576" spans="3:15">
      <c r="C1576" s="720">
        <f>IF(D1521="","-",+C1575+1)</f>
        <v>2064</v>
      </c>
      <c r="D1576" s="673">
        <f t="shared" si="97"/>
        <v>0</v>
      </c>
      <c r="E1576" s="726">
        <f t="shared" si="101"/>
        <v>0</v>
      </c>
      <c r="F1576" s="673">
        <f t="shared" si="96"/>
        <v>0</v>
      </c>
      <c r="G1576" s="1263">
        <f t="shared" si="98"/>
        <v>0</v>
      </c>
      <c r="H1576" s="1266">
        <f t="shared" si="99"/>
        <v>0</v>
      </c>
      <c r="I1576" s="724">
        <f t="shared" si="100"/>
        <v>0</v>
      </c>
      <c r="J1576" s="724"/>
      <c r="K1576" s="869"/>
      <c r="L1576" s="729"/>
      <c r="M1576" s="869"/>
      <c r="N1576" s="729"/>
      <c r="O1576" s="729"/>
    </row>
    <row r="1577" spans="3:15">
      <c r="C1577" s="720">
        <f>IF(D1521="","-",+C1576+1)</f>
        <v>2065</v>
      </c>
      <c r="D1577" s="673">
        <f t="shared" si="97"/>
        <v>0</v>
      </c>
      <c r="E1577" s="726">
        <f t="shared" si="101"/>
        <v>0</v>
      </c>
      <c r="F1577" s="673">
        <f t="shared" si="96"/>
        <v>0</v>
      </c>
      <c r="G1577" s="1263">
        <f t="shared" si="98"/>
        <v>0</v>
      </c>
      <c r="H1577" s="1266">
        <f t="shared" si="99"/>
        <v>0</v>
      </c>
      <c r="I1577" s="724">
        <f t="shared" si="100"/>
        <v>0</v>
      </c>
      <c r="J1577" s="724"/>
      <c r="K1577" s="869"/>
      <c r="L1577" s="729"/>
      <c r="M1577" s="869"/>
      <c r="N1577" s="729"/>
      <c r="O1577" s="729"/>
    </row>
    <row r="1578" spans="3:15">
      <c r="C1578" s="720">
        <f>IF(D1521="","-",+C1577+1)</f>
        <v>2066</v>
      </c>
      <c r="D1578" s="673">
        <f t="shared" si="97"/>
        <v>0</v>
      </c>
      <c r="E1578" s="726">
        <f t="shared" si="101"/>
        <v>0</v>
      </c>
      <c r="F1578" s="673">
        <f t="shared" si="96"/>
        <v>0</v>
      </c>
      <c r="G1578" s="1263">
        <f t="shared" si="98"/>
        <v>0</v>
      </c>
      <c r="H1578" s="1266">
        <f t="shared" si="99"/>
        <v>0</v>
      </c>
      <c r="I1578" s="724">
        <f t="shared" si="100"/>
        <v>0</v>
      </c>
      <c r="J1578" s="724"/>
      <c r="K1578" s="869"/>
      <c r="L1578" s="729"/>
      <c r="M1578" s="869"/>
      <c r="N1578" s="729"/>
      <c r="O1578" s="729"/>
    </row>
    <row r="1579" spans="3:15">
      <c r="C1579" s="720">
        <f>IF(D1521="","-",+C1578+1)</f>
        <v>2067</v>
      </c>
      <c r="D1579" s="673">
        <f t="shared" si="97"/>
        <v>0</v>
      </c>
      <c r="E1579" s="726">
        <f t="shared" si="101"/>
        <v>0</v>
      </c>
      <c r="F1579" s="673">
        <f t="shared" si="96"/>
        <v>0</v>
      </c>
      <c r="G1579" s="1263">
        <f t="shared" si="98"/>
        <v>0</v>
      </c>
      <c r="H1579" s="1266">
        <f t="shared" si="99"/>
        <v>0</v>
      </c>
      <c r="I1579" s="724">
        <f t="shared" si="100"/>
        <v>0</v>
      </c>
      <c r="J1579" s="724"/>
      <c r="K1579" s="869"/>
      <c r="L1579" s="729"/>
      <c r="M1579" s="869"/>
      <c r="N1579" s="729"/>
      <c r="O1579" s="729"/>
    </row>
    <row r="1580" spans="3:15">
      <c r="C1580" s="720">
        <f>IF(D1521="","-",+C1579+1)</f>
        <v>2068</v>
      </c>
      <c r="D1580" s="673">
        <f t="shared" si="97"/>
        <v>0</v>
      </c>
      <c r="E1580" s="726">
        <f t="shared" si="101"/>
        <v>0</v>
      </c>
      <c r="F1580" s="673">
        <f t="shared" si="96"/>
        <v>0</v>
      </c>
      <c r="G1580" s="1263">
        <f t="shared" si="98"/>
        <v>0</v>
      </c>
      <c r="H1580" s="1266">
        <f t="shared" si="99"/>
        <v>0</v>
      </c>
      <c r="I1580" s="724">
        <f t="shared" si="100"/>
        <v>0</v>
      </c>
      <c r="J1580" s="724"/>
      <c r="K1580" s="869"/>
      <c r="L1580" s="729"/>
      <c r="M1580" s="869"/>
      <c r="N1580" s="729"/>
      <c r="O1580" s="729"/>
    </row>
    <row r="1581" spans="3:15">
      <c r="C1581" s="720">
        <f>IF(D1521="","-",+C1580+1)</f>
        <v>2069</v>
      </c>
      <c r="D1581" s="673">
        <f t="shared" si="97"/>
        <v>0</v>
      </c>
      <c r="E1581" s="726">
        <f t="shared" si="101"/>
        <v>0</v>
      </c>
      <c r="F1581" s="673">
        <f t="shared" si="96"/>
        <v>0</v>
      </c>
      <c r="G1581" s="1263">
        <f t="shared" si="98"/>
        <v>0</v>
      </c>
      <c r="H1581" s="1266">
        <f t="shared" si="99"/>
        <v>0</v>
      </c>
      <c r="I1581" s="724">
        <f t="shared" si="100"/>
        <v>0</v>
      </c>
      <c r="J1581" s="724"/>
      <c r="K1581" s="869"/>
      <c r="L1581" s="729"/>
      <c r="M1581" s="869"/>
      <c r="N1581" s="729"/>
      <c r="O1581" s="729"/>
    </row>
    <row r="1582" spans="3:15">
      <c r="C1582" s="720">
        <f>IF(D1521="","-",+C1581+1)</f>
        <v>2070</v>
      </c>
      <c r="D1582" s="673">
        <f t="shared" si="97"/>
        <v>0</v>
      </c>
      <c r="E1582" s="726">
        <f t="shared" si="101"/>
        <v>0</v>
      </c>
      <c r="F1582" s="673">
        <f t="shared" si="96"/>
        <v>0</v>
      </c>
      <c r="G1582" s="1263">
        <f t="shared" si="98"/>
        <v>0</v>
      </c>
      <c r="H1582" s="1266">
        <f t="shared" si="99"/>
        <v>0</v>
      </c>
      <c r="I1582" s="724">
        <f t="shared" si="100"/>
        <v>0</v>
      </c>
      <c r="J1582" s="724"/>
      <c r="K1582" s="869"/>
      <c r="L1582" s="729"/>
      <c r="M1582" s="869"/>
      <c r="N1582" s="729"/>
      <c r="O1582" s="729"/>
    </row>
    <row r="1583" spans="3:15">
      <c r="C1583" s="720">
        <f>IF(D1521="","-",+C1582+1)</f>
        <v>2071</v>
      </c>
      <c r="D1583" s="673">
        <f t="shared" si="97"/>
        <v>0</v>
      </c>
      <c r="E1583" s="726">
        <f t="shared" si="101"/>
        <v>0</v>
      </c>
      <c r="F1583" s="673">
        <f t="shared" si="96"/>
        <v>0</v>
      </c>
      <c r="G1583" s="1263">
        <f t="shared" si="98"/>
        <v>0</v>
      </c>
      <c r="H1583" s="1266">
        <f t="shared" si="99"/>
        <v>0</v>
      </c>
      <c r="I1583" s="724">
        <f t="shared" si="100"/>
        <v>0</v>
      </c>
      <c r="J1583" s="724"/>
      <c r="K1583" s="869"/>
      <c r="L1583" s="729"/>
      <c r="M1583" s="869"/>
      <c r="N1583" s="729"/>
      <c r="O1583" s="729"/>
    </row>
    <row r="1584" spans="3:15">
      <c r="C1584" s="720">
        <f>IF(D1521="","-",+C1583+1)</f>
        <v>2072</v>
      </c>
      <c r="D1584" s="673">
        <f t="shared" si="97"/>
        <v>0</v>
      </c>
      <c r="E1584" s="726">
        <f t="shared" si="101"/>
        <v>0</v>
      </c>
      <c r="F1584" s="673">
        <f t="shared" si="96"/>
        <v>0</v>
      </c>
      <c r="G1584" s="1263">
        <f t="shared" si="98"/>
        <v>0</v>
      </c>
      <c r="H1584" s="1266">
        <f t="shared" si="99"/>
        <v>0</v>
      </c>
      <c r="I1584" s="724">
        <f t="shared" si="100"/>
        <v>0</v>
      </c>
      <c r="J1584" s="724"/>
      <c r="K1584" s="869"/>
      <c r="L1584" s="729"/>
      <c r="M1584" s="869"/>
      <c r="N1584" s="729"/>
      <c r="O1584" s="729"/>
    </row>
    <row r="1585" spans="1:16">
      <c r="C1585" s="720">
        <f>IF(D1521="","-",+C1584+1)</f>
        <v>2073</v>
      </c>
      <c r="D1585" s="673">
        <f t="shared" si="97"/>
        <v>0</v>
      </c>
      <c r="E1585" s="726">
        <f t="shared" si="101"/>
        <v>0</v>
      </c>
      <c r="F1585" s="673">
        <f t="shared" si="96"/>
        <v>0</v>
      </c>
      <c r="G1585" s="1263">
        <f t="shared" si="98"/>
        <v>0</v>
      </c>
      <c r="H1585" s="1266">
        <f t="shared" si="99"/>
        <v>0</v>
      </c>
      <c r="I1585" s="724">
        <f t="shared" si="100"/>
        <v>0</v>
      </c>
      <c r="J1585" s="724"/>
      <c r="K1585" s="869"/>
      <c r="L1585" s="729"/>
      <c r="M1585" s="869"/>
      <c r="N1585" s="729"/>
      <c r="O1585" s="729"/>
    </row>
    <row r="1586" spans="1:16" ht="13.5" thickBot="1">
      <c r="C1586" s="730">
        <f>IF(D1521="","-",+C1585+1)</f>
        <v>2074</v>
      </c>
      <c r="D1586" s="731">
        <f t="shared" si="97"/>
        <v>0</v>
      </c>
      <c r="E1586" s="732">
        <f t="shared" si="101"/>
        <v>0</v>
      </c>
      <c r="F1586" s="731">
        <f t="shared" si="96"/>
        <v>0</v>
      </c>
      <c r="G1586" s="1274">
        <f t="shared" si="98"/>
        <v>0</v>
      </c>
      <c r="H1586" s="1274">
        <f t="shared" si="99"/>
        <v>0</v>
      </c>
      <c r="I1586" s="734">
        <f t="shared" si="100"/>
        <v>0</v>
      </c>
      <c r="J1586" s="724"/>
      <c r="K1586" s="870"/>
      <c r="L1586" s="736"/>
      <c r="M1586" s="870"/>
      <c r="N1586" s="736"/>
      <c r="O1586" s="736"/>
    </row>
    <row r="1587" spans="1:16">
      <c r="C1587" s="673" t="s">
        <v>288</v>
      </c>
      <c r="D1587" s="1242"/>
      <c r="E1587" s="673"/>
      <c r="F1587" s="1242"/>
      <c r="G1587" s="1242">
        <f>SUM(G1527:G1586)</f>
        <v>31033223.70006866</v>
      </c>
      <c r="H1587" s="1242">
        <f>SUM(H1527:H1586)</f>
        <v>31033223.70006866</v>
      </c>
      <c r="I1587" s="1242">
        <f>SUM(I1527:I1586)</f>
        <v>0</v>
      </c>
      <c r="J1587" s="1242"/>
      <c r="K1587" s="1242"/>
      <c r="L1587" s="1242"/>
      <c r="M1587" s="1242"/>
      <c r="N1587" s="1242"/>
      <c r="O1587" s="542"/>
    </row>
    <row r="1588" spans="1:16">
      <c r="D1588" s="563"/>
      <c r="E1588" s="542"/>
      <c r="F1588" s="542"/>
      <c r="G1588" s="542"/>
      <c r="H1588" s="1241"/>
      <c r="I1588" s="1241"/>
      <c r="J1588" s="1242"/>
      <c r="K1588" s="1241"/>
      <c r="L1588" s="1241"/>
      <c r="M1588" s="1241"/>
      <c r="N1588" s="1241"/>
      <c r="O1588" s="542"/>
    </row>
    <row r="1589" spans="1:16">
      <c r="C1589" s="542" t="s">
        <v>595</v>
      </c>
      <c r="D1589" s="563"/>
      <c r="E1589" s="542"/>
      <c r="F1589" s="542"/>
      <c r="G1589" s="542"/>
      <c r="H1589" s="1241"/>
      <c r="I1589" s="1241"/>
      <c r="J1589" s="1242"/>
      <c r="K1589" s="1241"/>
      <c r="L1589" s="1241"/>
      <c r="M1589" s="1241"/>
      <c r="N1589" s="1241"/>
      <c r="O1589" s="542"/>
    </row>
    <row r="1590" spans="1:16">
      <c r="C1590" s="542"/>
      <c r="D1590" s="563"/>
      <c r="E1590" s="542"/>
      <c r="F1590" s="542"/>
      <c r="G1590" s="542"/>
      <c r="H1590" s="1241"/>
      <c r="I1590" s="1241"/>
      <c r="J1590" s="1242"/>
      <c r="K1590" s="1241"/>
      <c r="L1590" s="1241"/>
      <c r="M1590" s="1241"/>
      <c r="N1590" s="1241"/>
      <c r="O1590" s="542"/>
    </row>
    <row r="1591" spans="1:16">
      <c r="C1591" s="684" t="s">
        <v>934</v>
      </c>
      <c r="D1591" s="673"/>
      <c r="E1591" s="673"/>
      <c r="F1591" s="673"/>
      <c r="G1591" s="1242"/>
      <c r="H1591" s="1242"/>
      <c r="I1591" s="674"/>
      <c r="J1591" s="674"/>
      <c r="K1591" s="674"/>
      <c r="L1591" s="674"/>
      <c r="M1591" s="674"/>
      <c r="N1591" s="674"/>
      <c r="O1591" s="542"/>
    </row>
    <row r="1592" spans="1:16">
      <c r="C1592" s="684" t="s">
        <v>476</v>
      </c>
      <c r="D1592" s="673"/>
      <c r="E1592" s="673"/>
      <c r="F1592" s="673"/>
      <c r="G1592" s="1242"/>
      <c r="H1592" s="1242"/>
      <c r="I1592" s="674"/>
      <c r="J1592" s="674"/>
      <c r="K1592" s="674"/>
      <c r="L1592" s="674"/>
      <c r="M1592" s="674"/>
      <c r="N1592" s="674"/>
      <c r="O1592" s="542"/>
    </row>
    <row r="1593" spans="1:16">
      <c r="C1593" s="672" t="s">
        <v>289</v>
      </c>
      <c r="D1593" s="673"/>
      <c r="E1593" s="673"/>
      <c r="F1593" s="673"/>
      <c r="G1593" s="1242"/>
      <c r="H1593" s="1242"/>
      <c r="I1593" s="674"/>
      <c r="J1593" s="674"/>
      <c r="K1593" s="674"/>
      <c r="L1593" s="674"/>
      <c r="M1593" s="674"/>
      <c r="N1593" s="674"/>
      <c r="O1593" s="542"/>
    </row>
    <row r="1594" spans="1:16">
      <c r="C1594" s="672"/>
      <c r="D1594" s="673"/>
      <c r="E1594" s="673"/>
      <c r="F1594" s="673"/>
      <c r="G1594" s="1242"/>
      <c r="H1594" s="1242"/>
      <c r="I1594" s="674"/>
      <c r="J1594" s="674"/>
      <c r="K1594" s="674"/>
      <c r="L1594" s="674"/>
      <c r="M1594" s="674"/>
      <c r="N1594" s="674"/>
      <c r="O1594" s="542"/>
    </row>
    <row r="1595" spans="1:16">
      <c r="C1595" s="1701" t="s">
        <v>460</v>
      </c>
      <c r="D1595" s="1701"/>
      <c r="E1595" s="1701"/>
      <c r="F1595" s="1701"/>
      <c r="G1595" s="1701"/>
      <c r="H1595" s="1701"/>
      <c r="I1595" s="1701"/>
      <c r="J1595" s="1701"/>
      <c r="K1595" s="1701"/>
      <c r="L1595" s="1701"/>
      <c r="M1595" s="1701"/>
      <c r="N1595" s="1701"/>
      <c r="O1595" s="1701"/>
    </row>
    <row r="1596" spans="1:16">
      <c r="C1596" s="1701"/>
      <c r="D1596" s="1701"/>
      <c r="E1596" s="1701"/>
      <c r="F1596" s="1701"/>
      <c r="G1596" s="1701"/>
      <c r="H1596" s="1701"/>
      <c r="I1596" s="1701"/>
      <c r="J1596" s="1701"/>
      <c r="K1596" s="1701"/>
      <c r="L1596" s="1701"/>
      <c r="M1596" s="1701"/>
      <c r="N1596" s="1701"/>
      <c r="O1596" s="1701"/>
    </row>
    <row r="1597" spans="1:16" ht="20.25">
      <c r="A1597" s="675" t="s">
        <v>931</v>
      </c>
      <c r="B1597" s="576"/>
      <c r="C1597" s="655"/>
      <c r="D1597" s="563"/>
      <c r="E1597" s="542"/>
      <c r="F1597" s="645"/>
      <c r="G1597" s="542"/>
      <c r="H1597" s="1241"/>
      <c r="K1597" s="676"/>
      <c r="L1597" s="676"/>
      <c r="M1597" s="676"/>
      <c r="N1597" s="591" t="str">
        <f>"Page "&amp;SUM(P$6:P1597)&amp;" of "</f>
        <v xml:space="preserve">Page 18 of </v>
      </c>
      <c r="O1597" s="592">
        <f>COUNT(P$6:P$59579)</f>
        <v>22</v>
      </c>
      <c r="P1597" s="542">
        <v>1</v>
      </c>
    </row>
    <row r="1598" spans="1:16">
      <c r="B1598" s="576"/>
      <c r="C1598" s="542"/>
      <c r="D1598" s="563"/>
      <c r="E1598" s="542"/>
      <c r="F1598" s="542"/>
      <c r="G1598" s="542"/>
      <c r="H1598" s="1241"/>
      <c r="I1598" s="542"/>
      <c r="J1598" s="588"/>
      <c r="K1598" s="542"/>
      <c r="L1598" s="542"/>
      <c r="M1598" s="542"/>
      <c r="N1598" s="542"/>
      <c r="O1598" s="542"/>
    </row>
    <row r="1599" spans="1:16" ht="18">
      <c r="B1599" s="595" t="s">
        <v>174</v>
      </c>
      <c r="C1599" s="677" t="s">
        <v>290</v>
      </c>
      <c r="D1599" s="563"/>
      <c r="E1599" s="542"/>
      <c r="F1599" s="542"/>
      <c r="G1599" s="542"/>
      <c r="H1599" s="1241"/>
      <c r="I1599" s="1241"/>
      <c r="J1599" s="1242"/>
      <c r="K1599" s="1241"/>
      <c r="L1599" s="1241"/>
      <c r="M1599" s="1241"/>
      <c r="N1599" s="1241"/>
      <c r="O1599" s="542"/>
    </row>
    <row r="1600" spans="1:16" ht="18.75">
      <c r="B1600" s="595"/>
      <c r="C1600" s="594"/>
      <c r="D1600" s="563"/>
      <c r="E1600" s="542"/>
      <c r="F1600" s="542"/>
      <c r="G1600" s="542"/>
      <c r="H1600" s="1241"/>
      <c r="I1600" s="1241"/>
      <c r="J1600" s="1242"/>
      <c r="K1600" s="1241"/>
      <c r="L1600" s="1241"/>
      <c r="M1600" s="1241"/>
      <c r="N1600" s="1241"/>
      <c r="O1600" s="542"/>
    </row>
    <row r="1601" spans="1:15" ht="18.75">
      <c r="B1601" s="595"/>
      <c r="C1601" s="594" t="s">
        <v>291</v>
      </c>
      <c r="D1601" s="563"/>
      <c r="E1601" s="542"/>
      <c r="F1601" s="542"/>
      <c r="G1601" s="542"/>
      <c r="H1601" s="1241"/>
      <c r="I1601" s="1241"/>
      <c r="J1601" s="1242"/>
      <c r="K1601" s="1241"/>
      <c r="L1601" s="1241"/>
      <c r="M1601" s="1241"/>
      <c r="N1601" s="1241"/>
      <c r="O1601" s="542"/>
    </row>
    <row r="1602" spans="1:15" ht="15.75" thickBot="1">
      <c r="C1602" s="396"/>
      <c r="D1602" s="563"/>
      <c r="E1602" s="542"/>
      <c r="F1602" s="542"/>
      <c r="G1602" s="542"/>
      <c r="H1602" s="1241"/>
      <c r="I1602" s="1241"/>
      <c r="J1602" s="1242"/>
      <c r="K1602" s="1241"/>
      <c r="L1602" s="1241"/>
      <c r="M1602" s="1241"/>
      <c r="N1602" s="1241"/>
      <c r="O1602" s="542"/>
    </row>
    <row r="1603" spans="1:15" ht="15.75">
      <c r="C1603" s="596" t="s">
        <v>292</v>
      </c>
      <c r="D1603" s="563"/>
      <c r="E1603" s="542"/>
      <c r="F1603" s="542"/>
      <c r="G1603" s="1276"/>
      <c r="H1603" s="542" t="s">
        <v>271</v>
      </c>
      <c r="I1603" s="542"/>
      <c r="J1603" s="588"/>
      <c r="K1603" s="678" t="s">
        <v>296</v>
      </c>
      <c r="L1603" s="679"/>
      <c r="M1603" s="680"/>
      <c r="N1603" s="1244">
        <f>VLOOKUP(I1609,C1616:O1675,5)</f>
        <v>986562.62299944321</v>
      </c>
      <c r="O1603" s="542"/>
    </row>
    <row r="1604" spans="1:15" ht="15.75">
      <c r="C1604" s="596"/>
      <c r="D1604" s="563"/>
      <c r="E1604" s="542"/>
      <c r="F1604" s="542"/>
      <c r="G1604" s="542"/>
      <c r="H1604" s="1245"/>
      <c r="I1604" s="1245"/>
      <c r="J1604" s="1246"/>
      <c r="K1604" s="683" t="s">
        <v>297</v>
      </c>
      <c r="L1604" s="1247"/>
      <c r="M1604" s="588"/>
      <c r="N1604" s="1248">
        <f>VLOOKUP(I1609,C1616:O1675,6)</f>
        <v>986562.62299944321</v>
      </c>
      <c r="O1604" s="542"/>
    </row>
    <row r="1605" spans="1:15" ht="13.5" thickBot="1">
      <c r="C1605" s="684" t="s">
        <v>293</v>
      </c>
      <c r="D1605" s="1284" t="s">
        <v>951</v>
      </c>
      <c r="E1605" s="1281"/>
      <c r="F1605" s="1281"/>
      <c r="G1605" s="1281"/>
      <c r="H1605" s="872"/>
      <c r="I1605" s="872"/>
      <c r="J1605" s="1242"/>
      <c r="K1605" s="1249" t="s">
        <v>450</v>
      </c>
      <c r="L1605" s="1250"/>
      <c r="M1605" s="1250"/>
      <c r="N1605" s="1251">
        <f>+N1604-N1603</f>
        <v>0</v>
      </c>
      <c r="O1605" s="542"/>
    </row>
    <row r="1606" spans="1:15">
      <c r="C1606" s="686"/>
      <c r="D1606" s="687"/>
      <c r="E1606" s="671"/>
      <c r="F1606" s="671"/>
      <c r="G1606" s="688"/>
      <c r="H1606" s="1241"/>
      <c r="I1606" s="1241"/>
      <c r="J1606" s="1242"/>
      <c r="K1606" s="1241"/>
      <c r="L1606" s="1241"/>
      <c r="M1606" s="1241"/>
      <c r="N1606" s="1241"/>
      <c r="O1606" s="542"/>
    </row>
    <row r="1607" spans="1:15" ht="13.5" thickBot="1">
      <c r="C1607" s="689"/>
      <c r="D1607" s="1252"/>
      <c r="E1607" s="688"/>
      <c r="F1607" s="688"/>
      <c r="G1607" s="688"/>
      <c r="H1607" s="688"/>
      <c r="I1607" s="688"/>
      <c r="J1607" s="691"/>
      <c r="K1607" s="688"/>
      <c r="L1607" s="688"/>
      <c r="M1607" s="688"/>
      <c r="N1607" s="688"/>
      <c r="O1607" s="576"/>
    </row>
    <row r="1608" spans="1:15" ht="13.5" thickBot="1">
      <c r="C1608" s="692" t="s">
        <v>294</v>
      </c>
      <c r="D1608" s="693"/>
      <c r="E1608" s="693"/>
      <c r="F1608" s="693"/>
      <c r="G1608" s="693"/>
      <c r="H1608" s="693"/>
      <c r="I1608" s="694"/>
      <c r="J1608" s="695"/>
      <c r="K1608" s="542"/>
      <c r="L1608" s="542"/>
      <c r="M1608" s="542"/>
      <c r="N1608" s="542"/>
      <c r="O1608" s="696"/>
    </row>
    <row r="1609" spans="1:15" ht="15">
      <c r="C1609" s="697" t="s">
        <v>272</v>
      </c>
      <c r="D1609" s="1253">
        <v>5965093</v>
      </c>
      <c r="E1609" s="655" t="s">
        <v>273</v>
      </c>
      <c r="G1609" s="698"/>
      <c r="H1609" s="698"/>
      <c r="I1609" s="699">
        <v>2018</v>
      </c>
      <c r="J1609" s="586"/>
      <c r="K1609" s="1702" t="s">
        <v>459</v>
      </c>
      <c r="L1609" s="1702"/>
      <c r="M1609" s="1702"/>
      <c r="N1609" s="1702"/>
      <c r="O1609" s="1702"/>
    </row>
    <row r="1610" spans="1:15">
      <c r="C1610" s="697" t="s">
        <v>275</v>
      </c>
      <c r="D1610" s="865">
        <v>2015</v>
      </c>
      <c r="E1610" s="697" t="s">
        <v>276</v>
      </c>
      <c r="F1610" s="698"/>
      <c r="H1610" s="330"/>
      <c r="I1610" s="1254">
        <f>IF(G1603="",0,$F$15)</f>
        <v>0</v>
      </c>
      <c r="J1610" s="700"/>
      <c r="K1610" s="1242" t="s">
        <v>459</v>
      </c>
    </row>
    <row r="1611" spans="1:15">
      <c r="C1611" s="697" t="s">
        <v>277</v>
      </c>
      <c r="D1611" s="1253">
        <v>5</v>
      </c>
      <c r="E1611" s="697" t="s">
        <v>278</v>
      </c>
      <c r="F1611" s="698"/>
      <c r="H1611" s="330"/>
      <c r="I1611" s="701">
        <f>$G$70</f>
        <v>0.15341253840442806</v>
      </c>
      <c r="J1611" s="702"/>
      <c r="K1611" s="330" t="str">
        <f>"          INPUT PROJECTED ARR (WITH &amp; WITHOUT INCENTIVES) FROM EACH PRIOR YEAR"</f>
        <v xml:space="preserve">          INPUT PROJECTED ARR (WITH &amp; WITHOUT INCENTIVES) FROM EACH PRIOR YEAR</v>
      </c>
    </row>
    <row r="1612" spans="1:15">
      <c r="C1612" s="697" t="s">
        <v>279</v>
      </c>
      <c r="D1612" s="703">
        <f>G$79</f>
        <v>44</v>
      </c>
      <c r="E1612" s="697" t="s">
        <v>280</v>
      </c>
      <c r="F1612" s="698"/>
      <c r="H1612" s="330"/>
      <c r="I1612" s="701">
        <f>IF(G1603="",I1611,$G$67)</f>
        <v>0.15341253840442806</v>
      </c>
      <c r="J1612" s="704"/>
      <c r="K1612" s="330" t="s">
        <v>357</v>
      </c>
    </row>
    <row r="1613" spans="1:15" ht="13.5" thickBot="1">
      <c r="C1613" s="697" t="s">
        <v>281</v>
      </c>
      <c r="D1613" s="866" t="s">
        <v>933</v>
      </c>
      <c r="E1613" s="705" t="s">
        <v>282</v>
      </c>
      <c r="F1613" s="706"/>
      <c r="G1613" s="707"/>
      <c r="H1613" s="707"/>
      <c r="I1613" s="1251">
        <f>IF(D1609=0,0,D1609/D1612)</f>
        <v>135570.29545454544</v>
      </c>
      <c r="J1613" s="1242"/>
      <c r="K1613" s="1242" t="s">
        <v>363</v>
      </c>
      <c r="L1613" s="1242"/>
      <c r="M1613" s="1242"/>
      <c r="N1613" s="1242"/>
      <c r="O1613" s="588"/>
    </row>
    <row r="1614" spans="1:15" ht="51">
      <c r="A1614" s="529"/>
      <c r="B1614" s="1255"/>
      <c r="C1614" s="708" t="s">
        <v>272</v>
      </c>
      <c r="D1614" s="1256" t="s">
        <v>283</v>
      </c>
      <c r="E1614" s="1257" t="s">
        <v>284</v>
      </c>
      <c r="F1614" s="1256" t="s">
        <v>285</v>
      </c>
      <c r="G1614" s="1257" t="s">
        <v>356</v>
      </c>
      <c r="H1614" s="1258" t="s">
        <v>356</v>
      </c>
      <c r="I1614" s="708" t="s">
        <v>295</v>
      </c>
      <c r="J1614" s="712"/>
      <c r="K1614" s="1257" t="s">
        <v>365</v>
      </c>
      <c r="L1614" s="1259"/>
      <c r="M1614" s="1257" t="s">
        <v>365</v>
      </c>
      <c r="N1614" s="1259"/>
      <c r="O1614" s="1259"/>
    </row>
    <row r="1615" spans="1:15" ht="13.5" thickBot="1">
      <c r="C1615" s="714" t="s">
        <v>177</v>
      </c>
      <c r="D1615" s="715" t="s">
        <v>178</v>
      </c>
      <c r="E1615" s="714" t="s">
        <v>37</v>
      </c>
      <c r="F1615" s="715" t="s">
        <v>178</v>
      </c>
      <c r="G1615" s="1260" t="s">
        <v>298</v>
      </c>
      <c r="H1615" s="1261" t="s">
        <v>300</v>
      </c>
      <c r="I1615" s="718" t="s">
        <v>389</v>
      </c>
      <c r="J1615" s="719"/>
      <c r="K1615" s="1260" t="s">
        <v>287</v>
      </c>
      <c r="L1615" s="1262"/>
      <c r="M1615" s="1260" t="s">
        <v>300</v>
      </c>
      <c r="N1615" s="1262"/>
      <c r="O1615" s="1262"/>
    </row>
    <row r="1616" spans="1:15">
      <c r="C1616" s="720">
        <f>IF(D1610= "","-",D1610)</f>
        <v>2015</v>
      </c>
      <c r="D1616" s="673">
        <f>+D1609</f>
        <v>5965093</v>
      </c>
      <c r="E1616" s="1263">
        <f>+I1613/12*(12-D1611)</f>
        <v>79082.672348484833</v>
      </c>
      <c r="F1616" s="673">
        <f t="shared" ref="F1616:F1675" si="102">+D1616-E1616</f>
        <v>5886010.3276515156</v>
      </c>
      <c r="G1616" s="1264">
        <f>+$I$1611*((D1616+F1616)/2)+E1616</f>
        <v>988136.59454257658</v>
      </c>
      <c r="H1616" s="1265">
        <f>$I$1612*((D1616+F1616)/2)+E1616</f>
        <v>988136.59454257658</v>
      </c>
      <c r="I1616" s="724">
        <f>+H1616-G1616</f>
        <v>0</v>
      </c>
      <c r="J1616" s="724"/>
      <c r="K1616" s="868">
        <v>805154</v>
      </c>
      <c r="L1616" s="725"/>
      <c r="M1616" s="868">
        <v>805154</v>
      </c>
      <c r="N1616" s="725"/>
      <c r="O1616" s="725"/>
    </row>
    <row r="1617" spans="3:15">
      <c r="C1617" s="720">
        <f>IF(D1610="","-",+C1616+1)</f>
        <v>2016</v>
      </c>
      <c r="D1617" s="1269">
        <f t="shared" ref="D1617:D1675" si="103">F1616</f>
        <v>5886010.3276515156</v>
      </c>
      <c r="E1617" s="1270">
        <f>IF(D1617&gt;$I$1613,$I$1613,D1617)</f>
        <v>135570.29545454544</v>
      </c>
      <c r="F1617" s="673">
        <f t="shared" si="102"/>
        <v>5750440.0321969697</v>
      </c>
      <c r="G1617" s="1263">
        <f t="shared" ref="G1617:G1675" si="104">+$I$1611*((D1617+F1617)/2)+E1617</f>
        <v>1028158.9893152836</v>
      </c>
      <c r="H1617" s="1266">
        <f t="shared" ref="H1617:H1675" si="105">$I$1612*((D1617+F1617)/2)+E1617</f>
        <v>1028158.9893152836</v>
      </c>
      <c r="I1617" s="724">
        <f t="shared" ref="I1617:I1675" si="106">+H1617-G1617</f>
        <v>0</v>
      </c>
      <c r="J1617" s="724"/>
      <c r="K1617" s="869">
        <v>1159062</v>
      </c>
      <c r="L1617" s="729"/>
      <c r="M1617" s="869">
        <v>1159062</v>
      </c>
      <c r="N1617" s="729"/>
      <c r="O1617" s="729"/>
    </row>
    <row r="1618" spans="3:15">
      <c r="C1618" s="720">
        <f>IF(D1610="","-",+C1617+1)</f>
        <v>2017</v>
      </c>
      <c r="D1618" s="1269">
        <f t="shared" si="103"/>
        <v>5750440.0321969697</v>
      </c>
      <c r="E1618" s="1270">
        <f t="shared" ref="E1618:E1675" si="107">IF(D1618&gt;$I$1613,$I$1613,D1618)</f>
        <v>135570.29545454544</v>
      </c>
      <c r="F1618" s="673">
        <f t="shared" si="102"/>
        <v>5614869.7367424238</v>
      </c>
      <c r="G1618" s="1263">
        <f t="shared" si="104"/>
        <v>1007360.8061573636</v>
      </c>
      <c r="H1618" s="1266">
        <f t="shared" si="105"/>
        <v>1007360.8061573636</v>
      </c>
      <c r="I1618" s="724">
        <f t="shared" si="106"/>
        <v>0</v>
      </c>
      <c r="J1618" s="724"/>
      <c r="K1618" s="869">
        <v>1177370</v>
      </c>
      <c r="L1618" s="729"/>
      <c r="M1618" s="869">
        <v>1177370</v>
      </c>
      <c r="N1618" s="729"/>
      <c r="O1618" s="729"/>
    </row>
    <row r="1619" spans="3:15">
      <c r="C1619" s="1268">
        <f>IF(D1610="","-",+C1618+1)</f>
        <v>2018</v>
      </c>
      <c r="D1619" s="1269">
        <f t="shared" si="103"/>
        <v>5614869.7367424238</v>
      </c>
      <c r="E1619" s="1270">
        <f t="shared" si="107"/>
        <v>135570.29545454544</v>
      </c>
      <c r="F1619" s="1269">
        <f t="shared" si="102"/>
        <v>5479299.441287878</v>
      </c>
      <c r="G1619" s="1271">
        <f t="shared" si="104"/>
        <v>986562.62299944321</v>
      </c>
      <c r="H1619" s="1272">
        <f t="shared" si="105"/>
        <v>986562.62299944321</v>
      </c>
      <c r="I1619" s="1273">
        <f t="shared" si="106"/>
        <v>0</v>
      </c>
      <c r="J1619" s="724"/>
      <c r="K1619" s="869"/>
      <c r="L1619" s="729"/>
      <c r="M1619" s="869"/>
      <c r="N1619" s="729"/>
      <c r="O1619" s="729"/>
    </row>
    <row r="1620" spans="3:15">
      <c r="C1620" s="720">
        <f>IF(D1610="","-",+C1619+1)</f>
        <v>2019</v>
      </c>
      <c r="D1620" s="1269">
        <f t="shared" si="103"/>
        <v>5479299.441287878</v>
      </c>
      <c r="E1620" s="1270">
        <f t="shared" si="107"/>
        <v>135570.29545454544</v>
      </c>
      <c r="F1620" s="673">
        <f t="shared" si="102"/>
        <v>5343729.1458333321</v>
      </c>
      <c r="G1620" s="1263">
        <f t="shared" si="104"/>
        <v>965764.43984152318</v>
      </c>
      <c r="H1620" s="1266">
        <f t="shared" si="105"/>
        <v>965764.43984152318</v>
      </c>
      <c r="I1620" s="724">
        <f t="shared" si="106"/>
        <v>0</v>
      </c>
      <c r="J1620" s="724"/>
      <c r="K1620" s="869"/>
      <c r="L1620" s="729"/>
      <c r="M1620" s="869"/>
      <c r="N1620" s="729"/>
      <c r="O1620" s="729"/>
    </row>
    <row r="1621" spans="3:15">
      <c r="C1621" s="720">
        <f>IF(D1610="","-",+C1620+1)</f>
        <v>2020</v>
      </c>
      <c r="D1621" s="1269">
        <f t="shared" si="103"/>
        <v>5343729.1458333321</v>
      </c>
      <c r="E1621" s="1270">
        <f t="shared" si="107"/>
        <v>135570.29545454544</v>
      </c>
      <c r="F1621" s="673">
        <f t="shared" si="102"/>
        <v>5208158.8503787862</v>
      </c>
      <c r="G1621" s="1263">
        <f t="shared" si="104"/>
        <v>944966.25668360293</v>
      </c>
      <c r="H1621" s="1266">
        <f t="shared" si="105"/>
        <v>944966.25668360293</v>
      </c>
      <c r="I1621" s="724">
        <f t="shared" si="106"/>
        <v>0</v>
      </c>
      <c r="J1621" s="724"/>
      <c r="K1621" s="869"/>
      <c r="L1621" s="729"/>
      <c r="M1621" s="869"/>
      <c r="N1621" s="729"/>
      <c r="O1621" s="729"/>
    </row>
    <row r="1622" spans="3:15">
      <c r="C1622" s="720">
        <f>IF(D1610="","-",+C1621+1)</f>
        <v>2021</v>
      </c>
      <c r="D1622" s="1269">
        <f t="shared" si="103"/>
        <v>5208158.8503787862</v>
      </c>
      <c r="E1622" s="1270">
        <f t="shared" si="107"/>
        <v>135570.29545454544</v>
      </c>
      <c r="F1622" s="673">
        <f t="shared" si="102"/>
        <v>5072588.5549242403</v>
      </c>
      <c r="G1622" s="1263">
        <f t="shared" si="104"/>
        <v>924168.07352568279</v>
      </c>
      <c r="H1622" s="1266">
        <f t="shared" si="105"/>
        <v>924168.07352568279</v>
      </c>
      <c r="I1622" s="724">
        <f t="shared" si="106"/>
        <v>0</v>
      </c>
      <c r="J1622" s="724"/>
      <c r="K1622" s="869"/>
      <c r="L1622" s="729"/>
      <c r="M1622" s="869"/>
      <c r="N1622" s="729"/>
      <c r="O1622" s="729"/>
    </row>
    <row r="1623" spans="3:15">
      <c r="C1623" s="720">
        <f>IF(D1610="","-",+C1622+1)</f>
        <v>2022</v>
      </c>
      <c r="D1623" s="1269">
        <f t="shared" si="103"/>
        <v>5072588.5549242403</v>
      </c>
      <c r="E1623" s="1270">
        <f t="shared" si="107"/>
        <v>135570.29545454544</v>
      </c>
      <c r="F1623" s="673">
        <f t="shared" si="102"/>
        <v>4937018.2594696945</v>
      </c>
      <c r="G1623" s="1263">
        <f t="shared" si="104"/>
        <v>903369.89036776253</v>
      </c>
      <c r="H1623" s="1266">
        <f t="shared" si="105"/>
        <v>903369.89036776253</v>
      </c>
      <c r="I1623" s="724">
        <f t="shared" si="106"/>
        <v>0</v>
      </c>
      <c r="J1623" s="724"/>
      <c r="K1623" s="869"/>
      <c r="L1623" s="729"/>
      <c r="M1623" s="869"/>
      <c r="N1623" s="729"/>
      <c r="O1623" s="729"/>
    </row>
    <row r="1624" spans="3:15">
      <c r="C1624" s="720">
        <f>IF(D1610="","-",+C1623+1)</f>
        <v>2023</v>
      </c>
      <c r="D1624" s="1269">
        <f t="shared" si="103"/>
        <v>4937018.2594696945</v>
      </c>
      <c r="E1624" s="1270">
        <f t="shared" si="107"/>
        <v>135570.29545454544</v>
      </c>
      <c r="F1624" s="673">
        <f t="shared" si="102"/>
        <v>4801447.9640151486</v>
      </c>
      <c r="G1624" s="1263">
        <f t="shared" si="104"/>
        <v>882571.70720984251</v>
      </c>
      <c r="H1624" s="1266">
        <f t="shared" si="105"/>
        <v>882571.70720984251</v>
      </c>
      <c r="I1624" s="724">
        <f t="shared" si="106"/>
        <v>0</v>
      </c>
      <c r="J1624" s="724"/>
      <c r="K1624" s="869"/>
      <c r="L1624" s="729"/>
      <c r="M1624" s="869"/>
      <c r="N1624" s="729"/>
      <c r="O1624" s="729"/>
    </row>
    <row r="1625" spans="3:15">
      <c r="C1625" s="720">
        <f>IF(D1610="","-",+C1624+1)</f>
        <v>2024</v>
      </c>
      <c r="D1625" s="1269">
        <f t="shared" si="103"/>
        <v>4801447.9640151486</v>
      </c>
      <c r="E1625" s="1270">
        <f t="shared" si="107"/>
        <v>135570.29545454544</v>
      </c>
      <c r="F1625" s="673">
        <f t="shared" si="102"/>
        <v>4665877.6685606027</v>
      </c>
      <c r="G1625" s="1263">
        <f t="shared" si="104"/>
        <v>861773.52405192214</v>
      </c>
      <c r="H1625" s="1266">
        <f t="shared" si="105"/>
        <v>861773.52405192214</v>
      </c>
      <c r="I1625" s="724">
        <f t="shared" si="106"/>
        <v>0</v>
      </c>
      <c r="J1625" s="724"/>
      <c r="K1625" s="869"/>
      <c r="L1625" s="729"/>
      <c r="M1625" s="869"/>
      <c r="N1625" s="729"/>
      <c r="O1625" s="729"/>
    </row>
    <row r="1626" spans="3:15">
      <c r="C1626" s="720">
        <f>IF(D1610="","-",+C1625+1)</f>
        <v>2025</v>
      </c>
      <c r="D1626" s="1269">
        <f t="shared" si="103"/>
        <v>4665877.6685606027</v>
      </c>
      <c r="E1626" s="1270">
        <f t="shared" si="107"/>
        <v>135570.29545454544</v>
      </c>
      <c r="F1626" s="673">
        <f t="shared" si="102"/>
        <v>4530307.3731060568</v>
      </c>
      <c r="G1626" s="1263">
        <f t="shared" si="104"/>
        <v>840975.34089400212</v>
      </c>
      <c r="H1626" s="1266">
        <f t="shared" si="105"/>
        <v>840975.34089400212</v>
      </c>
      <c r="I1626" s="724">
        <f t="shared" si="106"/>
        <v>0</v>
      </c>
      <c r="J1626" s="724"/>
      <c r="K1626" s="869"/>
      <c r="L1626" s="729"/>
      <c r="M1626" s="869"/>
      <c r="N1626" s="729"/>
      <c r="O1626" s="729"/>
    </row>
    <row r="1627" spans="3:15">
      <c r="C1627" s="720">
        <f>IF(D1610="","-",+C1626+1)</f>
        <v>2026</v>
      </c>
      <c r="D1627" s="1269">
        <f t="shared" si="103"/>
        <v>4530307.3731060568</v>
      </c>
      <c r="E1627" s="1270">
        <f t="shared" si="107"/>
        <v>135570.29545454544</v>
      </c>
      <c r="F1627" s="673">
        <f t="shared" si="102"/>
        <v>4394737.0776515109</v>
      </c>
      <c r="G1627" s="1263">
        <f t="shared" si="104"/>
        <v>820177.15773608175</v>
      </c>
      <c r="H1627" s="1266">
        <f t="shared" si="105"/>
        <v>820177.15773608175</v>
      </c>
      <c r="I1627" s="724">
        <f t="shared" si="106"/>
        <v>0</v>
      </c>
      <c r="J1627" s="724"/>
      <c r="K1627" s="869"/>
      <c r="L1627" s="729"/>
      <c r="M1627" s="869"/>
      <c r="N1627" s="729"/>
      <c r="O1627" s="729"/>
    </row>
    <row r="1628" spans="3:15">
      <c r="C1628" s="720">
        <f>IF(D1610="","-",+C1627+1)</f>
        <v>2027</v>
      </c>
      <c r="D1628" s="1269">
        <f t="shared" si="103"/>
        <v>4394737.0776515109</v>
      </c>
      <c r="E1628" s="1270">
        <f t="shared" si="107"/>
        <v>135570.29545454544</v>
      </c>
      <c r="F1628" s="673">
        <f t="shared" si="102"/>
        <v>4259166.7821969651</v>
      </c>
      <c r="G1628" s="1263">
        <f t="shared" si="104"/>
        <v>799378.97457816172</v>
      </c>
      <c r="H1628" s="1266">
        <f t="shared" si="105"/>
        <v>799378.97457816172</v>
      </c>
      <c r="I1628" s="724">
        <f t="shared" si="106"/>
        <v>0</v>
      </c>
      <c r="J1628" s="724"/>
      <c r="K1628" s="869"/>
      <c r="L1628" s="729"/>
      <c r="M1628" s="869"/>
      <c r="N1628" s="729"/>
      <c r="O1628" s="729"/>
    </row>
    <row r="1629" spans="3:15">
      <c r="C1629" s="720">
        <f>IF(D1610="","-",+C1628+1)</f>
        <v>2028</v>
      </c>
      <c r="D1629" s="1269">
        <f t="shared" si="103"/>
        <v>4259166.7821969651</v>
      </c>
      <c r="E1629" s="1270">
        <f t="shared" si="107"/>
        <v>135570.29545454544</v>
      </c>
      <c r="F1629" s="673">
        <f t="shared" si="102"/>
        <v>4123596.4867424197</v>
      </c>
      <c r="G1629" s="1263">
        <f t="shared" si="104"/>
        <v>778580.79142024159</v>
      </c>
      <c r="H1629" s="1266">
        <f t="shared" si="105"/>
        <v>778580.79142024159</v>
      </c>
      <c r="I1629" s="724">
        <f t="shared" si="106"/>
        <v>0</v>
      </c>
      <c r="J1629" s="724"/>
      <c r="K1629" s="869"/>
      <c r="L1629" s="729"/>
      <c r="M1629" s="869"/>
      <c r="N1629" s="729"/>
      <c r="O1629" s="729"/>
    </row>
    <row r="1630" spans="3:15">
      <c r="C1630" s="720">
        <f>IF(D1610="","-",+C1629+1)</f>
        <v>2029</v>
      </c>
      <c r="D1630" s="1269">
        <f t="shared" si="103"/>
        <v>4123596.4867424197</v>
      </c>
      <c r="E1630" s="1270">
        <f t="shared" si="107"/>
        <v>135570.29545454544</v>
      </c>
      <c r="F1630" s="673">
        <f t="shared" si="102"/>
        <v>3988026.1912878742</v>
      </c>
      <c r="G1630" s="1263">
        <f t="shared" si="104"/>
        <v>757782.60826232145</v>
      </c>
      <c r="H1630" s="1266">
        <f t="shared" si="105"/>
        <v>757782.60826232145</v>
      </c>
      <c r="I1630" s="724">
        <f t="shared" si="106"/>
        <v>0</v>
      </c>
      <c r="J1630" s="724"/>
      <c r="K1630" s="869"/>
      <c r="L1630" s="729"/>
      <c r="M1630" s="869"/>
      <c r="N1630" s="729"/>
      <c r="O1630" s="729"/>
    </row>
    <row r="1631" spans="3:15">
      <c r="C1631" s="720">
        <f>IF(D1610="","-",+C1630+1)</f>
        <v>2030</v>
      </c>
      <c r="D1631" s="1269">
        <f t="shared" si="103"/>
        <v>3988026.1912878742</v>
      </c>
      <c r="E1631" s="1270">
        <f t="shared" si="107"/>
        <v>135570.29545454544</v>
      </c>
      <c r="F1631" s="673">
        <f t="shared" si="102"/>
        <v>3852455.8958333288</v>
      </c>
      <c r="G1631" s="1263">
        <f t="shared" si="104"/>
        <v>736984.42510440142</v>
      </c>
      <c r="H1631" s="1266">
        <f t="shared" si="105"/>
        <v>736984.42510440142</v>
      </c>
      <c r="I1631" s="724">
        <f t="shared" si="106"/>
        <v>0</v>
      </c>
      <c r="J1631" s="724"/>
      <c r="K1631" s="869"/>
      <c r="L1631" s="729"/>
      <c r="M1631" s="869"/>
      <c r="N1631" s="729"/>
      <c r="O1631" s="729"/>
    </row>
    <row r="1632" spans="3:15">
      <c r="C1632" s="720">
        <f>IF(D1610="","-",+C1631+1)</f>
        <v>2031</v>
      </c>
      <c r="D1632" s="1269">
        <f t="shared" si="103"/>
        <v>3852455.8958333288</v>
      </c>
      <c r="E1632" s="1270">
        <f t="shared" si="107"/>
        <v>135570.29545454544</v>
      </c>
      <c r="F1632" s="673">
        <f t="shared" si="102"/>
        <v>3716885.6003787834</v>
      </c>
      <c r="G1632" s="1263">
        <f t="shared" si="104"/>
        <v>716186.24194648117</v>
      </c>
      <c r="H1632" s="1266">
        <f t="shared" si="105"/>
        <v>716186.24194648117</v>
      </c>
      <c r="I1632" s="724">
        <f t="shared" si="106"/>
        <v>0</v>
      </c>
      <c r="J1632" s="724"/>
      <c r="K1632" s="869"/>
      <c r="L1632" s="729"/>
      <c r="M1632" s="869"/>
      <c r="N1632" s="729"/>
      <c r="O1632" s="729"/>
    </row>
    <row r="1633" spans="3:15">
      <c r="C1633" s="720">
        <f>IF(D1610="","-",+C1632+1)</f>
        <v>2032</v>
      </c>
      <c r="D1633" s="1269">
        <f t="shared" si="103"/>
        <v>3716885.6003787834</v>
      </c>
      <c r="E1633" s="1270">
        <f t="shared" si="107"/>
        <v>135570.29545454544</v>
      </c>
      <c r="F1633" s="673">
        <f t="shared" si="102"/>
        <v>3581315.304924238</v>
      </c>
      <c r="G1633" s="1263">
        <f t="shared" si="104"/>
        <v>695388.05878856115</v>
      </c>
      <c r="H1633" s="1266">
        <f t="shared" si="105"/>
        <v>695388.05878856115</v>
      </c>
      <c r="I1633" s="724">
        <f t="shared" si="106"/>
        <v>0</v>
      </c>
      <c r="J1633" s="724"/>
      <c r="K1633" s="869"/>
      <c r="L1633" s="729"/>
      <c r="M1633" s="869"/>
      <c r="N1633" s="729"/>
      <c r="O1633" s="729"/>
    </row>
    <row r="1634" spans="3:15">
      <c r="C1634" s="720">
        <f>IF(D1610="","-",+C1633+1)</f>
        <v>2033</v>
      </c>
      <c r="D1634" s="1269">
        <f t="shared" si="103"/>
        <v>3581315.304924238</v>
      </c>
      <c r="E1634" s="1270">
        <f t="shared" si="107"/>
        <v>135570.29545454544</v>
      </c>
      <c r="F1634" s="673">
        <f t="shared" si="102"/>
        <v>3445745.0094696926</v>
      </c>
      <c r="G1634" s="1263">
        <f t="shared" si="104"/>
        <v>674589.87563064101</v>
      </c>
      <c r="H1634" s="1266">
        <f t="shared" si="105"/>
        <v>674589.87563064101</v>
      </c>
      <c r="I1634" s="724">
        <f t="shared" si="106"/>
        <v>0</v>
      </c>
      <c r="J1634" s="724"/>
      <c r="K1634" s="869"/>
      <c r="L1634" s="729"/>
      <c r="M1634" s="869"/>
      <c r="N1634" s="729"/>
      <c r="O1634" s="729"/>
    </row>
    <row r="1635" spans="3:15">
      <c r="C1635" s="720">
        <f>IF(D1610="","-",+C1634+1)</f>
        <v>2034</v>
      </c>
      <c r="D1635" s="1269">
        <f t="shared" si="103"/>
        <v>3445745.0094696926</v>
      </c>
      <c r="E1635" s="1270">
        <f t="shared" si="107"/>
        <v>135570.29545454544</v>
      </c>
      <c r="F1635" s="673">
        <f t="shared" si="102"/>
        <v>3310174.7140151472</v>
      </c>
      <c r="G1635" s="1263">
        <f t="shared" si="104"/>
        <v>653791.69247272098</v>
      </c>
      <c r="H1635" s="1266">
        <f t="shared" si="105"/>
        <v>653791.69247272098</v>
      </c>
      <c r="I1635" s="724">
        <f t="shared" si="106"/>
        <v>0</v>
      </c>
      <c r="J1635" s="724"/>
      <c r="K1635" s="869"/>
      <c r="L1635" s="729"/>
      <c r="M1635" s="869"/>
      <c r="N1635" s="729"/>
      <c r="O1635" s="729"/>
    </row>
    <row r="1636" spans="3:15">
      <c r="C1636" s="720">
        <f>IF(D1610="","-",+C1635+1)</f>
        <v>2035</v>
      </c>
      <c r="D1636" s="1269">
        <f t="shared" si="103"/>
        <v>3310174.7140151472</v>
      </c>
      <c r="E1636" s="1270">
        <f t="shared" si="107"/>
        <v>135570.29545454544</v>
      </c>
      <c r="F1636" s="673">
        <f t="shared" si="102"/>
        <v>3174604.4185606018</v>
      </c>
      <c r="G1636" s="1263">
        <f t="shared" si="104"/>
        <v>632993.50931480085</v>
      </c>
      <c r="H1636" s="1266">
        <f t="shared" si="105"/>
        <v>632993.50931480085</v>
      </c>
      <c r="I1636" s="724">
        <f t="shared" si="106"/>
        <v>0</v>
      </c>
      <c r="J1636" s="724"/>
      <c r="K1636" s="869"/>
      <c r="L1636" s="729"/>
      <c r="M1636" s="869"/>
      <c r="N1636" s="729"/>
      <c r="O1636" s="729"/>
    </row>
    <row r="1637" spans="3:15">
      <c r="C1637" s="720">
        <f>IF(D1610="","-",+C1636+1)</f>
        <v>2036</v>
      </c>
      <c r="D1637" s="1269">
        <f t="shared" si="103"/>
        <v>3174604.4185606018</v>
      </c>
      <c r="E1637" s="1270">
        <f t="shared" si="107"/>
        <v>135570.29545454544</v>
      </c>
      <c r="F1637" s="673">
        <f t="shared" si="102"/>
        <v>3039034.1231060564</v>
      </c>
      <c r="G1637" s="1263">
        <f t="shared" si="104"/>
        <v>612195.32615688071</v>
      </c>
      <c r="H1637" s="1266">
        <f t="shared" si="105"/>
        <v>612195.32615688071</v>
      </c>
      <c r="I1637" s="724">
        <f t="shared" si="106"/>
        <v>0</v>
      </c>
      <c r="J1637" s="724"/>
      <c r="K1637" s="869"/>
      <c r="L1637" s="729"/>
      <c r="M1637" s="869"/>
      <c r="N1637" s="729"/>
      <c r="O1637" s="729"/>
    </row>
    <row r="1638" spans="3:15">
      <c r="C1638" s="720">
        <f>IF(D1610="","-",+C1637+1)</f>
        <v>2037</v>
      </c>
      <c r="D1638" s="1269">
        <f t="shared" si="103"/>
        <v>3039034.1231060564</v>
      </c>
      <c r="E1638" s="1270">
        <f t="shared" si="107"/>
        <v>135570.29545454544</v>
      </c>
      <c r="F1638" s="673">
        <f t="shared" si="102"/>
        <v>2903463.8276515109</v>
      </c>
      <c r="G1638" s="1263">
        <f t="shared" si="104"/>
        <v>591397.14299896057</v>
      </c>
      <c r="H1638" s="1266">
        <f t="shared" si="105"/>
        <v>591397.14299896057</v>
      </c>
      <c r="I1638" s="724">
        <f t="shared" si="106"/>
        <v>0</v>
      </c>
      <c r="J1638" s="724"/>
      <c r="K1638" s="869"/>
      <c r="L1638" s="729"/>
      <c r="M1638" s="869"/>
      <c r="N1638" s="729"/>
      <c r="O1638" s="729"/>
    </row>
    <row r="1639" spans="3:15">
      <c r="C1639" s="720">
        <f>IF(D1610="","-",+C1638+1)</f>
        <v>2038</v>
      </c>
      <c r="D1639" s="1269">
        <f t="shared" si="103"/>
        <v>2903463.8276515109</v>
      </c>
      <c r="E1639" s="1270">
        <f t="shared" si="107"/>
        <v>135570.29545454544</v>
      </c>
      <c r="F1639" s="673">
        <f t="shared" si="102"/>
        <v>2767893.5321969655</v>
      </c>
      <c r="G1639" s="1263">
        <f t="shared" si="104"/>
        <v>570598.95984104055</v>
      </c>
      <c r="H1639" s="1266">
        <f t="shared" si="105"/>
        <v>570598.95984104055</v>
      </c>
      <c r="I1639" s="724">
        <f t="shared" si="106"/>
        <v>0</v>
      </c>
      <c r="J1639" s="724"/>
      <c r="K1639" s="869"/>
      <c r="L1639" s="729"/>
      <c r="M1639" s="869"/>
      <c r="N1639" s="729"/>
      <c r="O1639" s="729"/>
    </row>
    <row r="1640" spans="3:15">
      <c r="C1640" s="720">
        <f>IF(D1610="","-",+C1639+1)</f>
        <v>2039</v>
      </c>
      <c r="D1640" s="1269">
        <f t="shared" si="103"/>
        <v>2767893.5321969655</v>
      </c>
      <c r="E1640" s="1270">
        <f t="shared" si="107"/>
        <v>135570.29545454544</v>
      </c>
      <c r="F1640" s="673">
        <f t="shared" si="102"/>
        <v>2632323.2367424201</v>
      </c>
      <c r="G1640" s="1263">
        <f t="shared" si="104"/>
        <v>549800.77668312041</v>
      </c>
      <c r="H1640" s="1266">
        <f t="shared" si="105"/>
        <v>549800.77668312041</v>
      </c>
      <c r="I1640" s="724">
        <f t="shared" si="106"/>
        <v>0</v>
      </c>
      <c r="J1640" s="724"/>
      <c r="K1640" s="869"/>
      <c r="L1640" s="729"/>
      <c r="M1640" s="869"/>
      <c r="N1640" s="729"/>
      <c r="O1640" s="729"/>
    </row>
    <row r="1641" spans="3:15">
      <c r="C1641" s="720">
        <f>IF(D1610="","-",+C1640+1)</f>
        <v>2040</v>
      </c>
      <c r="D1641" s="1269">
        <f t="shared" si="103"/>
        <v>2632323.2367424201</v>
      </c>
      <c r="E1641" s="1270">
        <f t="shared" si="107"/>
        <v>135570.29545454544</v>
      </c>
      <c r="F1641" s="673">
        <f t="shared" si="102"/>
        <v>2496752.9412878747</v>
      </c>
      <c r="G1641" s="1263">
        <f t="shared" si="104"/>
        <v>529002.59352520038</v>
      </c>
      <c r="H1641" s="1266">
        <f t="shared" si="105"/>
        <v>529002.59352520038</v>
      </c>
      <c r="I1641" s="724">
        <f t="shared" si="106"/>
        <v>0</v>
      </c>
      <c r="J1641" s="724"/>
      <c r="K1641" s="869"/>
      <c r="L1641" s="729"/>
      <c r="M1641" s="869"/>
      <c r="N1641" s="729"/>
      <c r="O1641" s="729"/>
    </row>
    <row r="1642" spans="3:15">
      <c r="C1642" s="720">
        <f>IF(D1610="","-",+C1641+1)</f>
        <v>2041</v>
      </c>
      <c r="D1642" s="1269">
        <f t="shared" si="103"/>
        <v>2496752.9412878747</v>
      </c>
      <c r="E1642" s="1270">
        <f t="shared" si="107"/>
        <v>135570.29545454544</v>
      </c>
      <c r="F1642" s="673">
        <f t="shared" si="102"/>
        <v>2361182.6458333293</v>
      </c>
      <c r="G1642" s="1263">
        <f t="shared" si="104"/>
        <v>508204.41036728013</v>
      </c>
      <c r="H1642" s="1266">
        <f t="shared" si="105"/>
        <v>508204.41036728013</v>
      </c>
      <c r="I1642" s="724">
        <f t="shared" si="106"/>
        <v>0</v>
      </c>
      <c r="J1642" s="724"/>
      <c r="K1642" s="869"/>
      <c r="L1642" s="729"/>
      <c r="M1642" s="869"/>
      <c r="N1642" s="729"/>
      <c r="O1642" s="729"/>
    </row>
    <row r="1643" spans="3:15">
      <c r="C1643" s="720">
        <f>IF(D1610="","-",+C1642+1)</f>
        <v>2042</v>
      </c>
      <c r="D1643" s="1269">
        <f t="shared" si="103"/>
        <v>2361182.6458333293</v>
      </c>
      <c r="E1643" s="1270">
        <f t="shared" si="107"/>
        <v>135570.29545454544</v>
      </c>
      <c r="F1643" s="673">
        <f t="shared" si="102"/>
        <v>2225612.3503787839</v>
      </c>
      <c r="G1643" s="1263">
        <f t="shared" si="104"/>
        <v>487406.22720936011</v>
      </c>
      <c r="H1643" s="1266">
        <f t="shared" si="105"/>
        <v>487406.22720936011</v>
      </c>
      <c r="I1643" s="724">
        <f t="shared" si="106"/>
        <v>0</v>
      </c>
      <c r="J1643" s="724"/>
      <c r="K1643" s="869"/>
      <c r="L1643" s="729"/>
      <c r="M1643" s="869"/>
      <c r="N1643" s="729"/>
      <c r="O1643" s="729"/>
    </row>
    <row r="1644" spans="3:15">
      <c r="C1644" s="720">
        <f>IF(D1610="","-",+C1643+1)</f>
        <v>2043</v>
      </c>
      <c r="D1644" s="1269">
        <f t="shared" si="103"/>
        <v>2225612.3503787839</v>
      </c>
      <c r="E1644" s="1270">
        <f t="shared" si="107"/>
        <v>135570.29545454544</v>
      </c>
      <c r="F1644" s="673">
        <f t="shared" si="102"/>
        <v>2090042.0549242385</v>
      </c>
      <c r="G1644" s="1264">
        <f t="shared" si="104"/>
        <v>466608.04405143997</v>
      </c>
      <c r="H1644" s="1266">
        <f t="shared" si="105"/>
        <v>466608.04405143997</v>
      </c>
      <c r="I1644" s="724">
        <f t="shared" si="106"/>
        <v>0</v>
      </c>
      <c r="J1644" s="724"/>
      <c r="K1644" s="869"/>
      <c r="L1644" s="729"/>
      <c r="M1644" s="869"/>
      <c r="N1644" s="729"/>
      <c r="O1644" s="729"/>
    </row>
    <row r="1645" spans="3:15">
      <c r="C1645" s="720">
        <f>IF(D1610="","-",+C1644+1)</f>
        <v>2044</v>
      </c>
      <c r="D1645" s="1269">
        <f t="shared" si="103"/>
        <v>2090042.0549242385</v>
      </c>
      <c r="E1645" s="1270">
        <f t="shared" si="107"/>
        <v>135570.29545454544</v>
      </c>
      <c r="F1645" s="673">
        <f t="shared" si="102"/>
        <v>1954471.7594696931</v>
      </c>
      <c r="G1645" s="1263">
        <f t="shared" si="104"/>
        <v>445809.86089351983</v>
      </c>
      <c r="H1645" s="1266">
        <f t="shared" si="105"/>
        <v>445809.86089351983</v>
      </c>
      <c r="I1645" s="724">
        <f t="shared" si="106"/>
        <v>0</v>
      </c>
      <c r="J1645" s="724"/>
      <c r="K1645" s="869"/>
      <c r="L1645" s="729"/>
      <c r="M1645" s="869"/>
      <c r="N1645" s="729"/>
      <c r="O1645" s="729"/>
    </row>
    <row r="1646" spans="3:15">
      <c r="C1646" s="720">
        <f>IF(D1610="","-",+C1645+1)</f>
        <v>2045</v>
      </c>
      <c r="D1646" s="1269">
        <f t="shared" si="103"/>
        <v>1954471.7594696931</v>
      </c>
      <c r="E1646" s="1270">
        <f t="shared" si="107"/>
        <v>135570.29545454544</v>
      </c>
      <c r="F1646" s="673">
        <f t="shared" si="102"/>
        <v>1818901.4640151476</v>
      </c>
      <c r="G1646" s="1263">
        <f t="shared" si="104"/>
        <v>425011.67773559981</v>
      </c>
      <c r="H1646" s="1266">
        <f t="shared" si="105"/>
        <v>425011.67773559981</v>
      </c>
      <c r="I1646" s="724">
        <f t="shared" si="106"/>
        <v>0</v>
      </c>
      <c r="J1646" s="724"/>
      <c r="K1646" s="869"/>
      <c r="L1646" s="729"/>
      <c r="M1646" s="869"/>
      <c r="N1646" s="729"/>
      <c r="O1646" s="729"/>
    </row>
    <row r="1647" spans="3:15">
      <c r="C1647" s="720">
        <f>IF(D1610="","-",+C1646+1)</f>
        <v>2046</v>
      </c>
      <c r="D1647" s="1269">
        <f t="shared" si="103"/>
        <v>1818901.4640151476</v>
      </c>
      <c r="E1647" s="1270">
        <f t="shared" si="107"/>
        <v>135570.29545454544</v>
      </c>
      <c r="F1647" s="673">
        <f t="shared" si="102"/>
        <v>1683331.1685606022</v>
      </c>
      <c r="G1647" s="1263">
        <f t="shared" si="104"/>
        <v>404213.49457767967</v>
      </c>
      <c r="H1647" s="1266">
        <f t="shared" si="105"/>
        <v>404213.49457767967</v>
      </c>
      <c r="I1647" s="724">
        <f t="shared" si="106"/>
        <v>0</v>
      </c>
      <c r="J1647" s="724"/>
      <c r="K1647" s="869"/>
      <c r="L1647" s="729"/>
      <c r="M1647" s="869"/>
      <c r="N1647" s="729"/>
      <c r="O1647" s="729"/>
    </row>
    <row r="1648" spans="3:15">
      <c r="C1648" s="720">
        <f>IF(D1610="","-",+C1647+1)</f>
        <v>2047</v>
      </c>
      <c r="D1648" s="1269">
        <f t="shared" si="103"/>
        <v>1683331.1685606022</v>
      </c>
      <c r="E1648" s="1270">
        <f t="shared" si="107"/>
        <v>135570.29545454544</v>
      </c>
      <c r="F1648" s="673">
        <f t="shared" si="102"/>
        <v>1547760.8731060568</v>
      </c>
      <c r="G1648" s="1263">
        <f t="shared" si="104"/>
        <v>383415.31141975953</v>
      </c>
      <c r="H1648" s="1266">
        <f t="shared" si="105"/>
        <v>383415.31141975953</v>
      </c>
      <c r="I1648" s="724">
        <f t="shared" si="106"/>
        <v>0</v>
      </c>
      <c r="J1648" s="724"/>
      <c r="K1648" s="869"/>
      <c r="L1648" s="729"/>
      <c r="M1648" s="869"/>
      <c r="N1648" s="729"/>
      <c r="O1648" s="729"/>
    </row>
    <row r="1649" spans="3:15">
      <c r="C1649" s="720">
        <f>IF(D1610="","-",+C1648+1)</f>
        <v>2048</v>
      </c>
      <c r="D1649" s="1269">
        <f t="shared" si="103"/>
        <v>1547760.8731060568</v>
      </c>
      <c r="E1649" s="1270">
        <f t="shared" si="107"/>
        <v>135570.29545454544</v>
      </c>
      <c r="F1649" s="673">
        <f t="shared" si="102"/>
        <v>1412190.5776515114</v>
      </c>
      <c r="G1649" s="1263">
        <f t="shared" si="104"/>
        <v>362617.12826183945</v>
      </c>
      <c r="H1649" s="1266">
        <f t="shared" si="105"/>
        <v>362617.12826183945</v>
      </c>
      <c r="I1649" s="724">
        <f t="shared" si="106"/>
        <v>0</v>
      </c>
      <c r="J1649" s="724"/>
      <c r="K1649" s="869"/>
      <c r="L1649" s="729"/>
      <c r="M1649" s="869"/>
      <c r="N1649" s="729"/>
      <c r="O1649" s="729"/>
    </row>
    <row r="1650" spans="3:15">
      <c r="C1650" s="720">
        <f>IF(D1610="","-",+C1649+1)</f>
        <v>2049</v>
      </c>
      <c r="D1650" s="1269">
        <f t="shared" si="103"/>
        <v>1412190.5776515114</v>
      </c>
      <c r="E1650" s="1270">
        <f t="shared" si="107"/>
        <v>135570.29545454544</v>
      </c>
      <c r="F1650" s="673">
        <f t="shared" si="102"/>
        <v>1276620.282196966</v>
      </c>
      <c r="G1650" s="1263">
        <f t="shared" si="104"/>
        <v>341818.94510391937</v>
      </c>
      <c r="H1650" s="1266">
        <f t="shared" si="105"/>
        <v>341818.94510391937</v>
      </c>
      <c r="I1650" s="724">
        <f t="shared" si="106"/>
        <v>0</v>
      </c>
      <c r="J1650" s="724"/>
      <c r="K1650" s="869"/>
      <c r="L1650" s="729"/>
      <c r="M1650" s="869"/>
      <c r="N1650" s="729"/>
      <c r="O1650" s="729"/>
    </row>
    <row r="1651" spans="3:15">
      <c r="C1651" s="720">
        <f>IF(D1610="","-",+C1650+1)</f>
        <v>2050</v>
      </c>
      <c r="D1651" s="1269">
        <f t="shared" si="103"/>
        <v>1276620.282196966</v>
      </c>
      <c r="E1651" s="1270">
        <f t="shared" si="107"/>
        <v>135570.29545454544</v>
      </c>
      <c r="F1651" s="673">
        <f t="shared" si="102"/>
        <v>1141049.9867424206</v>
      </c>
      <c r="G1651" s="1263">
        <f t="shared" si="104"/>
        <v>321020.76194599923</v>
      </c>
      <c r="H1651" s="1266">
        <f t="shared" si="105"/>
        <v>321020.76194599923</v>
      </c>
      <c r="I1651" s="724">
        <f t="shared" si="106"/>
        <v>0</v>
      </c>
      <c r="J1651" s="724"/>
      <c r="K1651" s="869"/>
      <c r="L1651" s="729"/>
      <c r="M1651" s="869"/>
      <c r="N1651" s="729"/>
      <c r="O1651" s="729"/>
    </row>
    <row r="1652" spans="3:15">
      <c r="C1652" s="720">
        <f>IF(D1610="","-",+C1651+1)</f>
        <v>2051</v>
      </c>
      <c r="D1652" s="1269">
        <f t="shared" si="103"/>
        <v>1141049.9867424206</v>
      </c>
      <c r="E1652" s="1270">
        <f t="shared" si="107"/>
        <v>135570.29545454544</v>
      </c>
      <c r="F1652" s="673">
        <f t="shared" si="102"/>
        <v>1005479.6912878752</v>
      </c>
      <c r="G1652" s="1263">
        <f t="shared" si="104"/>
        <v>300222.57878807909</v>
      </c>
      <c r="H1652" s="1266">
        <f t="shared" si="105"/>
        <v>300222.57878807909</v>
      </c>
      <c r="I1652" s="724">
        <f t="shared" si="106"/>
        <v>0</v>
      </c>
      <c r="J1652" s="724"/>
      <c r="K1652" s="869"/>
      <c r="L1652" s="729"/>
      <c r="M1652" s="869"/>
      <c r="N1652" s="729"/>
      <c r="O1652" s="729"/>
    </row>
    <row r="1653" spans="3:15">
      <c r="C1653" s="720">
        <f>IF(D1610="","-",+C1652+1)</f>
        <v>2052</v>
      </c>
      <c r="D1653" s="1269">
        <f t="shared" si="103"/>
        <v>1005479.6912878752</v>
      </c>
      <c r="E1653" s="1270">
        <f t="shared" si="107"/>
        <v>135570.29545454544</v>
      </c>
      <c r="F1653" s="673">
        <f t="shared" si="102"/>
        <v>869909.39583332976</v>
      </c>
      <c r="G1653" s="1263">
        <f t="shared" si="104"/>
        <v>279424.39563015901</v>
      </c>
      <c r="H1653" s="1266">
        <f t="shared" si="105"/>
        <v>279424.39563015901</v>
      </c>
      <c r="I1653" s="724">
        <f t="shared" si="106"/>
        <v>0</v>
      </c>
      <c r="J1653" s="724"/>
      <c r="K1653" s="869"/>
      <c r="L1653" s="729"/>
      <c r="M1653" s="869"/>
      <c r="N1653" s="729"/>
      <c r="O1653" s="729"/>
    </row>
    <row r="1654" spans="3:15">
      <c r="C1654" s="720">
        <f>IF(D1610="","-",+C1653+1)</f>
        <v>2053</v>
      </c>
      <c r="D1654" s="1269">
        <f t="shared" si="103"/>
        <v>869909.39583332976</v>
      </c>
      <c r="E1654" s="1270">
        <f t="shared" si="107"/>
        <v>135570.29545454544</v>
      </c>
      <c r="F1654" s="673">
        <f t="shared" si="102"/>
        <v>734339.10037878435</v>
      </c>
      <c r="G1654" s="1263">
        <f t="shared" si="104"/>
        <v>258626.2124722389</v>
      </c>
      <c r="H1654" s="1266">
        <f t="shared" si="105"/>
        <v>258626.2124722389</v>
      </c>
      <c r="I1654" s="724">
        <f t="shared" si="106"/>
        <v>0</v>
      </c>
      <c r="J1654" s="724"/>
      <c r="K1654" s="869"/>
      <c r="L1654" s="729"/>
      <c r="M1654" s="869"/>
      <c r="N1654" s="729"/>
      <c r="O1654" s="729"/>
    </row>
    <row r="1655" spans="3:15">
      <c r="C1655" s="720">
        <f>IF(D1610="","-",+C1654+1)</f>
        <v>2054</v>
      </c>
      <c r="D1655" s="1269">
        <f t="shared" si="103"/>
        <v>734339.10037878435</v>
      </c>
      <c r="E1655" s="1270">
        <f t="shared" si="107"/>
        <v>135570.29545454544</v>
      </c>
      <c r="F1655" s="673">
        <f t="shared" si="102"/>
        <v>598768.80492423894</v>
      </c>
      <c r="G1655" s="1263">
        <f t="shared" si="104"/>
        <v>237828.02931431879</v>
      </c>
      <c r="H1655" s="1266">
        <f t="shared" si="105"/>
        <v>237828.02931431879</v>
      </c>
      <c r="I1655" s="724">
        <f t="shared" si="106"/>
        <v>0</v>
      </c>
      <c r="J1655" s="724"/>
      <c r="K1655" s="869"/>
      <c r="L1655" s="729"/>
      <c r="M1655" s="869"/>
      <c r="N1655" s="729"/>
      <c r="O1655" s="729"/>
    </row>
    <row r="1656" spans="3:15">
      <c r="C1656" s="720">
        <f>IF(D1610="","-",+C1655+1)</f>
        <v>2055</v>
      </c>
      <c r="D1656" s="1269">
        <f t="shared" si="103"/>
        <v>598768.80492423894</v>
      </c>
      <c r="E1656" s="1270">
        <f t="shared" si="107"/>
        <v>135570.29545454544</v>
      </c>
      <c r="F1656" s="673">
        <f t="shared" si="102"/>
        <v>463198.50946969353</v>
      </c>
      <c r="G1656" s="1263">
        <f t="shared" si="104"/>
        <v>217029.84615639871</v>
      </c>
      <c r="H1656" s="1266">
        <f t="shared" si="105"/>
        <v>217029.84615639871</v>
      </c>
      <c r="I1656" s="724">
        <f t="shared" si="106"/>
        <v>0</v>
      </c>
      <c r="J1656" s="724"/>
      <c r="K1656" s="869"/>
      <c r="L1656" s="729"/>
      <c r="M1656" s="869"/>
      <c r="N1656" s="729"/>
      <c r="O1656" s="729"/>
    </row>
    <row r="1657" spans="3:15">
      <c r="C1657" s="720">
        <f>IF(D1610="","-",+C1656+1)</f>
        <v>2056</v>
      </c>
      <c r="D1657" s="1269">
        <f t="shared" si="103"/>
        <v>463198.50946969353</v>
      </c>
      <c r="E1657" s="1270">
        <f t="shared" si="107"/>
        <v>135570.29545454544</v>
      </c>
      <c r="F1657" s="673">
        <f t="shared" si="102"/>
        <v>327628.21401514811</v>
      </c>
      <c r="G1657" s="1263">
        <f t="shared" si="104"/>
        <v>196231.66299847857</v>
      </c>
      <c r="H1657" s="1266">
        <f t="shared" si="105"/>
        <v>196231.66299847857</v>
      </c>
      <c r="I1657" s="724">
        <f t="shared" si="106"/>
        <v>0</v>
      </c>
      <c r="J1657" s="724"/>
      <c r="K1657" s="869"/>
      <c r="L1657" s="729"/>
      <c r="M1657" s="869"/>
      <c r="N1657" s="729"/>
      <c r="O1657" s="729"/>
    </row>
    <row r="1658" spans="3:15">
      <c r="C1658" s="720">
        <f>IF(D1610="","-",+C1657+1)</f>
        <v>2057</v>
      </c>
      <c r="D1658" s="1269">
        <f t="shared" si="103"/>
        <v>327628.21401514811</v>
      </c>
      <c r="E1658" s="1270">
        <f t="shared" si="107"/>
        <v>135570.29545454544</v>
      </c>
      <c r="F1658" s="673">
        <f t="shared" si="102"/>
        <v>192057.91856060267</v>
      </c>
      <c r="G1658" s="1263">
        <f t="shared" si="104"/>
        <v>175433.47984055849</v>
      </c>
      <c r="H1658" s="1266">
        <f t="shared" si="105"/>
        <v>175433.47984055849</v>
      </c>
      <c r="I1658" s="724">
        <f t="shared" si="106"/>
        <v>0</v>
      </c>
      <c r="J1658" s="724"/>
      <c r="K1658" s="869"/>
      <c r="L1658" s="729"/>
      <c r="M1658" s="869"/>
      <c r="N1658" s="729"/>
      <c r="O1658" s="729"/>
    </row>
    <row r="1659" spans="3:15">
      <c r="C1659" s="720">
        <f>IF(D1610="","-",+C1658+1)</f>
        <v>2058</v>
      </c>
      <c r="D1659" s="1269">
        <f t="shared" si="103"/>
        <v>192057.91856060267</v>
      </c>
      <c r="E1659" s="1270">
        <f t="shared" si="107"/>
        <v>135570.29545454544</v>
      </c>
      <c r="F1659" s="673">
        <f t="shared" si="102"/>
        <v>56487.623106057232</v>
      </c>
      <c r="G1659" s="1263">
        <f t="shared" si="104"/>
        <v>154635.29668263835</v>
      </c>
      <c r="H1659" s="1266">
        <f t="shared" si="105"/>
        <v>154635.29668263835</v>
      </c>
      <c r="I1659" s="724">
        <f t="shared" si="106"/>
        <v>0</v>
      </c>
      <c r="J1659" s="724"/>
      <c r="K1659" s="869"/>
      <c r="L1659" s="729"/>
      <c r="M1659" s="869"/>
      <c r="N1659" s="729"/>
      <c r="O1659" s="729"/>
    </row>
    <row r="1660" spans="3:15">
      <c r="C1660" s="720">
        <f>IF(D1610="","-",+C1659+1)</f>
        <v>2059</v>
      </c>
      <c r="D1660" s="1269">
        <f t="shared" si="103"/>
        <v>56487.623106057232</v>
      </c>
      <c r="E1660" s="1270">
        <f t="shared" si="107"/>
        <v>56487.623106057232</v>
      </c>
      <c r="F1660" s="673">
        <f t="shared" si="102"/>
        <v>0</v>
      </c>
      <c r="G1660" s="1263">
        <f t="shared" si="104"/>
        <v>60820.577930623665</v>
      </c>
      <c r="H1660" s="1266">
        <f t="shared" si="105"/>
        <v>60820.577930623665</v>
      </c>
      <c r="I1660" s="724">
        <f t="shared" si="106"/>
        <v>0</v>
      </c>
      <c r="J1660" s="724"/>
      <c r="K1660" s="869"/>
      <c r="L1660" s="729"/>
      <c r="M1660" s="869"/>
      <c r="N1660" s="729"/>
      <c r="O1660" s="729"/>
    </row>
    <row r="1661" spans="3:15">
      <c r="C1661" s="720">
        <f>IF(D1610="","-",+C1660+1)</f>
        <v>2060</v>
      </c>
      <c r="D1661" s="1269">
        <f t="shared" si="103"/>
        <v>0</v>
      </c>
      <c r="E1661" s="1270">
        <f t="shared" si="107"/>
        <v>0</v>
      </c>
      <c r="F1661" s="673">
        <f t="shared" si="102"/>
        <v>0</v>
      </c>
      <c r="G1661" s="1263">
        <f t="shared" si="104"/>
        <v>0</v>
      </c>
      <c r="H1661" s="1266">
        <f t="shared" si="105"/>
        <v>0</v>
      </c>
      <c r="I1661" s="724">
        <f t="shared" si="106"/>
        <v>0</v>
      </c>
      <c r="J1661" s="724"/>
      <c r="K1661" s="869"/>
      <c r="L1661" s="729"/>
      <c r="M1661" s="869"/>
      <c r="N1661" s="729"/>
      <c r="O1661" s="729"/>
    </row>
    <row r="1662" spans="3:15">
      <c r="C1662" s="720">
        <f>IF(D1610="","-",+C1661+1)</f>
        <v>2061</v>
      </c>
      <c r="D1662" s="673">
        <f t="shared" si="103"/>
        <v>0</v>
      </c>
      <c r="E1662" s="726">
        <f t="shared" si="107"/>
        <v>0</v>
      </c>
      <c r="F1662" s="673">
        <f t="shared" si="102"/>
        <v>0</v>
      </c>
      <c r="G1662" s="1263">
        <f t="shared" si="104"/>
        <v>0</v>
      </c>
      <c r="H1662" s="1266">
        <f t="shared" si="105"/>
        <v>0</v>
      </c>
      <c r="I1662" s="724">
        <f t="shared" si="106"/>
        <v>0</v>
      </c>
      <c r="J1662" s="724"/>
      <c r="K1662" s="869"/>
      <c r="L1662" s="729"/>
      <c r="M1662" s="869"/>
      <c r="N1662" s="729"/>
      <c r="O1662" s="729"/>
    </row>
    <row r="1663" spans="3:15">
      <c r="C1663" s="720">
        <f>IF(D1610="","-",+C1662+1)</f>
        <v>2062</v>
      </c>
      <c r="D1663" s="673">
        <f t="shared" si="103"/>
        <v>0</v>
      </c>
      <c r="E1663" s="726">
        <f t="shared" si="107"/>
        <v>0</v>
      </c>
      <c r="F1663" s="673">
        <f t="shared" si="102"/>
        <v>0</v>
      </c>
      <c r="G1663" s="1263">
        <f t="shared" si="104"/>
        <v>0</v>
      </c>
      <c r="H1663" s="1266">
        <f t="shared" si="105"/>
        <v>0</v>
      </c>
      <c r="I1663" s="724">
        <f t="shared" si="106"/>
        <v>0</v>
      </c>
      <c r="J1663" s="724"/>
      <c r="K1663" s="869"/>
      <c r="L1663" s="729"/>
      <c r="M1663" s="869"/>
      <c r="N1663" s="729"/>
      <c r="O1663" s="729"/>
    </row>
    <row r="1664" spans="3:15">
      <c r="C1664" s="720">
        <f>IF(D1610="","-",+C1663+1)</f>
        <v>2063</v>
      </c>
      <c r="D1664" s="673">
        <f t="shared" si="103"/>
        <v>0</v>
      </c>
      <c r="E1664" s="726">
        <f t="shared" si="107"/>
        <v>0</v>
      </c>
      <c r="F1664" s="673">
        <f t="shared" si="102"/>
        <v>0</v>
      </c>
      <c r="G1664" s="1263">
        <f t="shared" si="104"/>
        <v>0</v>
      </c>
      <c r="H1664" s="1266">
        <f t="shared" si="105"/>
        <v>0</v>
      </c>
      <c r="I1664" s="724">
        <f t="shared" si="106"/>
        <v>0</v>
      </c>
      <c r="J1664" s="724"/>
      <c r="K1664" s="869"/>
      <c r="L1664" s="729"/>
      <c r="M1664" s="869"/>
      <c r="N1664" s="729"/>
      <c r="O1664" s="729"/>
    </row>
    <row r="1665" spans="3:15">
      <c r="C1665" s="720">
        <f>IF(D1610="","-",+C1664+1)</f>
        <v>2064</v>
      </c>
      <c r="D1665" s="673">
        <f t="shared" si="103"/>
        <v>0</v>
      </c>
      <c r="E1665" s="726">
        <f t="shared" si="107"/>
        <v>0</v>
      </c>
      <c r="F1665" s="673">
        <f t="shared" si="102"/>
        <v>0</v>
      </c>
      <c r="G1665" s="1263">
        <f t="shared" si="104"/>
        <v>0</v>
      </c>
      <c r="H1665" s="1266">
        <f t="shared" si="105"/>
        <v>0</v>
      </c>
      <c r="I1665" s="724">
        <f t="shared" si="106"/>
        <v>0</v>
      </c>
      <c r="J1665" s="724"/>
      <c r="K1665" s="869"/>
      <c r="L1665" s="729"/>
      <c r="M1665" s="869"/>
      <c r="N1665" s="729"/>
      <c r="O1665" s="729"/>
    </row>
    <row r="1666" spans="3:15">
      <c r="C1666" s="720">
        <f>IF(D1610="","-",+C1665+1)</f>
        <v>2065</v>
      </c>
      <c r="D1666" s="673">
        <f t="shared" si="103"/>
        <v>0</v>
      </c>
      <c r="E1666" s="726">
        <f t="shared" si="107"/>
        <v>0</v>
      </c>
      <c r="F1666" s="673">
        <f t="shared" si="102"/>
        <v>0</v>
      </c>
      <c r="G1666" s="1263">
        <f t="shared" si="104"/>
        <v>0</v>
      </c>
      <c r="H1666" s="1266">
        <f t="shared" si="105"/>
        <v>0</v>
      </c>
      <c r="I1666" s="724">
        <f t="shared" si="106"/>
        <v>0</v>
      </c>
      <c r="J1666" s="724"/>
      <c r="K1666" s="869"/>
      <c r="L1666" s="729"/>
      <c r="M1666" s="869"/>
      <c r="N1666" s="729"/>
      <c r="O1666" s="729"/>
    </row>
    <row r="1667" spans="3:15">
      <c r="C1667" s="720">
        <f>IF(D1610="","-",+C1666+1)</f>
        <v>2066</v>
      </c>
      <c r="D1667" s="673">
        <f t="shared" si="103"/>
        <v>0</v>
      </c>
      <c r="E1667" s="726">
        <f t="shared" si="107"/>
        <v>0</v>
      </c>
      <c r="F1667" s="673">
        <f t="shared" si="102"/>
        <v>0</v>
      </c>
      <c r="G1667" s="1263">
        <f t="shared" si="104"/>
        <v>0</v>
      </c>
      <c r="H1667" s="1266">
        <f t="shared" si="105"/>
        <v>0</v>
      </c>
      <c r="I1667" s="724">
        <f t="shared" si="106"/>
        <v>0</v>
      </c>
      <c r="J1667" s="724"/>
      <c r="K1667" s="869"/>
      <c r="L1667" s="729"/>
      <c r="M1667" s="869"/>
      <c r="N1667" s="729"/>
      <c r="O1667" s="729"/>
    </row>
    <row r="1668" spans="3:15">
      <c r="C1668" s="720">
        <f>IF(D1610="","-",+C1667+1)</f>
        <v>2067</v>
      </c>
      <c r="D1668" s="673">
        <f t="shared" si="103"/>
        <v>0</v>
      </c>
      <c r="E1668" s="726">
        <f t="shared" si="107"/>
        <v>0</v>
      </c>
      <c r="F1668" s="673">
        <f t="shared" si="102"/>
        <v>0</v>
      </c>
      <c r="G1668" s="1263">
        <f t="shared" si="104"/>
        <v>0</v>
      </c>
      <c r="H1668" s="1266">
        <f t="shared" si="105"/>
        <v>0</v>
      </c>
      <c r="I1668" s="724">
        <f t="shared" si="106"/>
        <v>0</v>
      </c>
      <c r="J1668" s="724"/>
      <c r="K1668" s="869"/>
      <c r="L1668" s="729"/>
      <c r="M1668" s="869"/>
      <c r="N1668" s="729"/>
      <c r="O1668" s="729"/>
    </row>
    <row r="1669" spans="3:15">
      <c r="C1669" s="720">
        <f>IF(D1610="","-",+C1668+1)</f>
        <v>2068</v>
      </c>
      <c r="D1669" s="673">
        <f t="shared" si="103"/>
        <v>0</v>
      </c>
      <c r="E1669" s="726">
        <f t="shared" si="107"/>
        <v>0</v>
      </c>
      <c r="F1669" s="673">
        <f t="shared" si="102"/>
        <v>0</v>
      </c>
      <c r="G1669" s="1263">
        <f t="shared" si="104"/>
        <v>0</v>
      </c>
      <c r="H1669" s="1266">
        <f t="shared" si="105"/>
        <v>0</v>
      </c>
      <c r="I1669" s="724">
        <f t="shared" si="106"/>
        <v>0</v>
      </c>
      <c r="J1669" s="724"/>
      <c r="K1669" s="869"/>
      <c r="L1669" s="729"/>
      <c r="M1669" s="869"/>
      <c r="N1669" s="729"/>
      <c r="O1669" s="729"/>
    </row>
    <row r="1670" spans="3:15">
      <c r="C1670" s="720">
        <f>IF(D1610="","-",+C1669+1)</f>
        <v>2069</v>
      </c>
      <c r="D1670" s="673">
        <f t="shared" si="103"/>
        <v>0</v>
      </c>
      <c r="E1670" s="726">
        <f t="shared" si="107"/>
        <v>0</v>
      </c>
      <c r="F1670" s="673">
        <f t="shared" si="102"/>
        <v>0</v>
      </c>
      <c r="G1670" s="1263">
        <f t="shared" si="104"/>
        <v>0</v>
      </c>
      <c r="H1670" s="1266">
        <f t="shared" si="105"/>
        <v>0</v>
      </c>
      <c r="I1670" s="724">
        <f t="shared" si="106"/>
        <v>0</v>
      </c>
      <c r="J1670" s="724"/>
      <c r="K1670" s="869"/>
      <c r="L1670" s="729"/>
      <c r="M1670" s="869"/>
      <c r="N1670" s="729"/>
      <c r="O1670" s="729"/>
    </row>
    <row r="1671" spans="3:15">
      <c r="C1671" s="720">
        <f>IF(D1610="","-",+C1670+1)</f>
        <v>2070</v>
      </c>
      <c r="D1671" s="673">
        <f t="shared" si="103"/>
        <v>0</v>
      </c>
      <c r="E1671" s="726">
        <f t="shared" si="107"/>
        <v>0</v>
      </c>
      <c r="F1671" s="673">
        <f t="shared" si="102"/>
        <v>0</v>
      </c>
      <c r="G1671" s="1263">
        <f t="shared" si="104"/>
        <v>0</v>
      </c>
      <c r="H1671" s="1266">
        <f t="shared" si="105"/>
        <v>0</v>
      </c>
      <c r="I1671" s="724">
        <f t="shared" si="106"/>
        <v>0</v>
      </c>
      <c r="J1671" s="724"/>
      <c r="K1671" s="869"/>
      <c r="L1671" s="729"/>
      <c r="M1671" s="869"/>
      <c r="N1671" s="729"/>
      <c r="O1671" s="729"/>
    </row>
    <row r="1672" spans="3:15">
      <c r="C1672" s="720">
        <f>IF(D1610="","-",+C1671+1)</f>
        <v>2071</v>
      </c>
      <c r="D1672" s="673">
        <f t="shared" si="103"/>
        <v>0</v>
      </c>
      <c r="E1672" s="726">
        <f t="shared" si="107"/>
        <v>0</v>
      </c>
      <c r="F1672" s="673">
        <f t="shared" si="102"/>
        <v>0</v>
      </c>
      <c r="G1672" s="1263">
        <f t="shared" si="104"/>
        <v>0</v>
      </c>
      <c r="H1672" s="1266">
        <f t="shared" si="105"/>
        <v>0</v>
      </c>
      <c r="I1672" s="724">
        <f t="shared" si="106"/>
        <v>0</v>
      </c>
      <c r="J1672" s="724"/>
      <c r="K1672" s="869"/>
      <c r="L1672" s="729"/>
      <c r="M1672" s="869"/>
      <c r="N1672" s="729"/>
      <c r="O1672" s="729"/>
    </row>
    <row r="1673" spans="3:15">
      <c r="C1673" s="720">
        <f>IF(D1610="","-",+C1672+1)</f>
        <v>2072</v>
      </c>
      <c r="D1673" s="673">
        <f t="shared" si="103"/>
        <v>0</v>
      </c>
      <c r="E1673" s="726">
        <f t="shared" si="107"/>
        <v>0</v>
      </c>
      <c r="F1673" s="673">
        <f t="shared" si="102"/>
        <v>0</v>
      </c>
      <c r="G1673" s="1263">
        <f t="shared" si="104"/>
        <v>0</v>
      </c>
      <c r="H1673" s="1266">
        <f t="shared" si="105"/>
        <v>0</v>
      </c>
      <c r="I1673" s="724">
        <f t="shared" si="106"/>
        <v>0</v>
      </c>
      <c r="J1673" s="724"/>
      <c r="K1673" s="869"/>
      <c r="L1673" s="729"/>
      <c r="M1673" s="869"/>
      <c r="N1673" s="729"/>
      <c r="O1673" s="729"/>
    </row>
    <row r="1674" spans="3:15">
      <c r="C1674" s="720">
        <f>IF(D1610="","-",+C1673+1)</f>
        <v>2073</v>
      </c>
      <c r="D1674" s="673">
        <f t="shared" si="103"/>
        <v>0</v>
      </c>
      <c r="E1674" s="726">
        <f t="shared" si="107"/>
        <v>0</v>
      </c>
      <c r="F1674" s="673">
        <f t="shared" si="102"/>
        <v>0</v>
      </c>
      <c r="G1674" s="1263">
        <f t="shared" si="104"/>
        <v>0</v>
      </c>
      <c r="H1674" s="1266">
        <f t="shared" si="105"/>
        <v>0</v>
      </c>
      <c r="I1674" s="724">
        <f t="shared" si="106"/>
        <v>0</v>
      </c>
      <c r="J1674" s="724"/>
      <c r="K1674" s="869"/>
      <c r="L1674" s="729"/>
      <c r="M1674" s="869"/>
      <c r="N1674" s="729"/>
      <c r="O1674" s="729"/>
    </row>
    <row r="1675" spans="3:15" ht="13.5" thickBot="1">
      <c r="C1675" s="730">
        <f>IF(D1610="","-",+C1674+1)</f>
        <v>2074</v>
      </c>
      <c r="D1675" s="731">
        <f t="shared" si="103"/>
        <v>0</v>
      </c>
      <c r="E1675" s="732">
        <f t="shared" si="107"/>
        <v>0</v>
      </c>
      <c r="F1675" s="731">
        <f t="shared" si="102"/>
        <v>0</v>
      </c>
      <c r="G1675" s="1274">
        <f t="shared" si="104"/>
        <v>0</v>
      </c>
      <c r="H1675" s="1274">
        <f t="shared" si="105"/>
        <v>0</v>
      </c>
      <c r="I1675" s="734">
        <f t="shared" si="106"/>
        <v>0</v>
      </c>
      <c r="J1675" s="724"/>
      <c r="K1675" s="870"/>
      <c r="L1675" s="736"/>
      <c r="M1675" s="870"/>
      <c r="N1675" s="736"/>
      <c r="O1675" s="736"/>
    </row>
    <row r="1676" spans="3:15">
      <c r="C1676" s="673" t="s">
        <v>288</v>
      </c>
      <c r="D1676" s="1242"/>
      <c r="E1676" s="673"/>
      <c r="F1676" s="1242"/>
      <c r="G1676" s="1242">
        <f>SUM(G1616:G1675)</f>
        <v>26479034.321428515</v>
      </c>
      <c r="H1676" s="1242">
        <f>SUM(H1616:H1675)</f>
        <v>26479034.321428515</v>
      </c>
      <c r="I1676" s="1242">
        <f>SUM(I1616:I1675)</f>
        <v>0</v>
      </c>
      <c r="J1676" s="1242"/>
      <c r="K1676" s="1242"/>
      <c r="L1676" s="1242"/>
      <c r="M1676" s="1242"/>
      <c r="N1676" s="1242"/>
      <c r="O1676" s="542"/>
    </row>
    <row r="1677" spans="3:15">
      <c r="D1677" s="563"/>
      <c r="E1677" s="542"/>
      <c r="F1677" s="542"/>
      <c r="G1677" s="542"/>
      <c r="H1677" s="1241"/>
      <c r="I1677" s="1241"/>
      <c r="J1677" s="1242"/>
      <c r="K1677" s="1241"/>
      <c r="L1677" s="1241"/>
      <c r="M1677" s="1241"/>
      <c r="N1677" s="1241"/>
      <c r="O1677" s="542"/>
    </row>
    <row r="1678" spans="3:15">
      <c r="C1678" s="542" t="s">
        <v>595</v>
      </c>
      <c r="D1678" s="563"/>
      <c r="E1678" s="542"/>
      <c r="F1678" s="542"/>
      <c r="G1678" s="542"/>
      <c r="H1678" s="1241"/>
      <c r="I1678" s="1241"/>
      <c r="J1678" s="1242"/>
      <c r="K1678" s="1241"/>
      <c r="L1678" s="1241"/>
      <c r="M1678" s="1241"/>
      <c r="N1678" s="1241"/>
      <c r="O1678" s="542"/>
    </row>
    <row r="1679" spans="3:15">
      <c r="C1679" s="542"/>
      <c r="D1679" s="563"/>
      <c r="E1679" s="542"/>
      <c r="F1679" s="542"/>
      <c r="G1679" s="542"/>
      <c r="H1679" s="1241"/>
      <c r="I1679" s="1241"/>
      <c r="J1679" s="1242"/>
      <c r="K1679" s="1241"/>
      <c r="L1679" s="1241"/>
      <c r="M1679" s="1241"/>
      <c r="N1679" s="1241"/>
      <c r="O1679" s="542"/>
    </row>
    <row r="1680" spans="3:15">
      <c r="C1680" s="684" t="s">
        <v>934</v>
      </c>
      <c r="D1680" s="673"/>
      <c r="E1680" s="673"/>
      <c r="F1680" s="673"/>
      <c r="G1680" s="1242"/>
      <c r="H1680" s="1242"/>
      <c r="I1680" s="674"/>
      <c r="J1680" s="674"/>
      <c r="K1680" s="674"/>
      <c r="L1680" s="674"/>
      <c r="M1680" s="674"/>
      <c r="N1680" s="674"/>
      <c r="O1680" s="542"/>
    </row>
    <row r="1681" spans="1:16">
      <c r="C1681" s="684" t="s">
        <v>476</v>
      </c>
      <c r="D1681" s="673"/>
      <c r="E1681" s="673"/>
      <c r="F1681" s="673"/>
      <c r="G1681" s="1242"/>
      <c r="H1681" s="1242"/>
      <c r="I1681" s="674"/>
      <c r="J1681" s="674"/>
      <c r="K1681" s="674"/>
      <c r="L1681" s="674"/>
      <c r="M1681" s="674"/>
      <c r="N1681" s="674"/>
      <c r="O1681" s="542"/>
    </row>
    <row r="1682" spans="1:16">
      <c r="C1682" s="672" t="s">
        <v>289</v>
      </c>
      <c r="D1682" s="673"/>
      <c r="E1682" s="673"/>
      <c r="F1682" s="673"/>
      <c r="G1682" s="1242"/>
      <c r="H1682" s="1242"/>
      <c r="I1682" s="674"/>
      <c r="J1682" s="674"/>
      <c r="K1682" s="674"/>
      <c r="L1682" s="674"/>
      <c r="M1682" s="674"/>
      <c r="N1682" s="674"/>
      <c r="O1682" s="542"/>
    </row>
    <row r="1683" spans="1:16">
      <c r="C1683" s="672"/>
      <c r="D1683" s="673"/>
      <c r="E1683" s="673"/>
      <c r="F1683" s="673"/>
      <c r="G1683" s="1242"/>
      <c r="H1683" s="1242"/>
      <c r="I1683" s="674"/>
      <c r="J1683" s="674"/>
      <c r="K1683" s="674"/>
      <c r="L1683" s="674"/>
      <c r="M1683" s="674"/>
      <c r="N1683" s="674"/>
      <c r="O1683" s="542"/>
    </row>
    <row r="1684" spans="1:16">
      <c r="C1684" s="1701" t="s">
        <v>460</v>
      </c>
      <c r="D1684" s="1701"/>
      <c r="E1684" s="1701"/>
      <c r="F1684" s="1701"/>
      <c r="G1684" s="1701"/>
      <c r="H1684" s="1701"/>
      <c r="I1684" s="1701"/>
      <c r="J1684" s="1701"/>
      <c r="K1684" s="1701"/>
      <c r="L1684" s="1701"/>
      <c r="M1684" s="1701"/>
      <c r="N1684" s="1701"/>
      <c r="O1684" s="1701"/>
    </row>
    <row r="1685" spans="1:16">
      <c r="C1685" s="1701"/>
      <c r="D1685" s="1701"/>
      <c r="E1685" s="1701"/>
      <c r="F1685" s="1701"/>
      <c r="G1685" s="1701"/>
      <c r="H1685" s="1701"/>
      <c r="I1685" s="1701"/>
      <c r="J1685" s="1701"/>
      <c r="K1685" s="1701"/>
      <c r="L1685" s="1701"/>
      <c r="M1685" s="1701"/>
      <c r="N1685" s="1701"/>
      <c r="O1685" s="1701"/>
    </row>
    <row r="1686" spans="1:16" ht="20.25">
      <c r="A1686" s="675" t="s">
        <v>931</v>
      </c>
      <c r="B1686" s="576"/>
      <c r="C1686" s="655"/>
      <c r="D1686" s="563"/>
      <c r="E1686" s="542"/>
      <c r="F1686" s="645"/>
      <c r="G1686" s="542"/>
      <c r="H1686" s="1241"/>
      <c r="K1686" s="676"/>
      <c r="L1686" s="676"/>
      <c r="M1686" s="676"/>
      <c r="N1686" s="591" t="str">
        <f>"Page "&amp;SUM(P$6:P1686)&amp;" of "</f>
        <v xml:space="preserve">Page 19 of </v>
      </c>
      <c r="O1686" s="592">
        <f>COUNT(P$6:P$59579)</f>
        <v>22</v>
      </c>
      <c r="P1686" s="542">
        <v>1</v>
      </c>
    </row>
    <row r="1687" spans="1:16">
      <c r="B1687" s="576"/>
      <c r="C1687" s="542"/>
      <c r="D1687" s="563"/>
      <c r="E1687" s="542"/>
      <c r="F1687" s="542"/>
      <c r="G1687" s="542"/>
      <c r="H1687" s="1241"/>
      <c r="I1687" s="542"/>
      <c r="J1687" s="588"/>
      <c r="K1687" s="542"/>
      <c r="L1687" s="542"/>
      <c r="M1687" s="542"/>
      <c r="N1687" s="542"/>
      <c r="O1687" s="542"/>
    </row>
    <row r="1688" spans="1:16" ht="18">
      <c r="B1688" s="595" t="s">
        <v>174</v>
      </c>
      <c r="C1688" s="677" t="s">
        <v>290</v>
      </c>
      <c r="D1688" s="563"/>
      <c r="E1688" s="542"/>
      <c r="F1688" s="542"/>
      <c r="G1688" s="542"/>
      <c r="H1688" s="1241"/>
      <c r="I1688" s="1241"/>
      <c r="J1688" s="1242"/>
      <c r="K1688" s="1241"/>
      <c r="L1688" s="1241"/>
      <c r="M1688" s="1241"/>
      <c r="N1688" s="1241"/>
      <c r="O1688" s="542"/>
    </row>
    <row r="1689" spans="1:16" ht="18.75">
      <c r="B1689" s="595"/>
      <c r="C1689" s="594"/>
      <c r="D1689" s="563"/>
      <c r="E1689" s="542"/>
      <c r="F1689" s="542"/>
      <c r="G1689" s="542"/>
      <c r="H1689" s="1241"/>
      <c r="I1689" s="1241"/>
      <c r="J1689" s="1242"/>
      <c r="K1689" s="1241"/>
      <c r="L1689" s="1241"/>
      <c r="M1689" s="1241"/>
      <c r="N1689" s="1241"/>
      <c r="O1689" s="542"/>
    </row>
    <row r="1690" spans="1:16" ht="18.75">
      <c r="B1690" s="595"/>
      <c r="C1690" s="594" t="s">
        <v>291</v>
      </c>
      <c r="D1690" s="563"/>
      <c r="E1690" s="542"/>
      <c r="F1690" s="542"/>
      <c r="G1690" s="542"/>
      <c r="H1690" s="1241"/>
      <c r="I1690" s="1241"/>
      <c r="J1690" s="1242"/>
      <c r="K1690" s="1241"/>
      <c r="L1690" s="1241"/>
      <c r="M1690" s="1241"/>
      <c r="N1690" s="1241"/>
      <c r="O1690" s="542"/>
    </row>
    <row r="1691" spans="1:16" ht="15.75" thickBot="1">
      <c r="C1691" s="396"/>
      <c r="D1691" s="563"/>
      <c r="E1691" s="542"/>
      <c r="F1691" s="542"/>
      <c r="G1691" s="542"/>
      <c r="H1691" s="1241"/>
      <c r="I1691" s="1241"/>
      <c r="J1691" s="1242"/>
      <c r="K1691" s="1241"/>
      <c r="L1691" s="1241"/>
      <c r="M1691" s="1241"/>
      <c r="N1691" s="1241"/>
      <c r="O1691" s="542"/>
    </row>
    <row r="1692" spans="1:16" ht="15.75">
      <c r="C1692" s="596" t="s">
        <v>292</v>
      </c>
      <c r="D1692" s="563"/>
      <c r="E1692" s="542"/>
      <c r="F1692" s="542"/>
      <c r="G1692" s="1276"/>
      <c r="H1692" s="542" t="s">
        <v>271</v>
      </c>
      <c r="I1692" s="542"/>
      <c r="J1692" s="588"/>
      <c r="K1692" s="678" t="s">
        <v>296</v>
      </c>
      <c r="L1692" s="679"/>
      <c r="M1692" s="680"/>
      <c r="N1692" s="1244">
        <f>VLOOKUP(I1698,C1705:O1764,5)</f>
        <v>0</v>
      </c>
      <c r="O1692" s="542"/>
    </row>
    <row r="1693" spans="1:16" ht="15.75">
      <c r="C1693" s="596"/>
      <c r="D1693" s="563"/>
      <c r="E1693" s="542"/>
      <c r="F1693" s="542"/>
      <c r="G1693" s="542"/>
      <c r="H1693" s="1245"/>
      <c r="I1693" s="1245"/>
      <c r="J1693" s="1246"/>
      <c r="K1693" s="683" t="s">
        <v>297</v>
      </c>
      <c r="L1693" s="1247"/>
      <c r="M1693" s="588"/>
      <c r="N1693" s="1248">
        <f>VLOOKUP(I1698,C1705:O1764,6)</f>
        <v>0</v>
      </c>
      <c r="O1693" s="542"/>
    </row>
    <row r="1694" spans="1:16" ht="15.75" thickBot="1">
      <c r="C1694" s="684" t="s">
        <v>293</v>
      </c>
      <c r="D1694" s="1703" t="s">
        <v>952</v>
      </c>
      <c r="E1694" s="1703"/>
      <c r="F1694" s="1703"/>
      <c r="G1694" s="1703"/>
      <c r="H1694" s="1245"/>
      <c r="I1694" s="1245"/>
      <c r="J1694" s="1242"/>
      <c r="K1694" s="1249" t="s">
        <v>450</v>
      </c>
      <c r="L1694" s="1250"/>
      <c r="M1694" s="1250"/>
      <c r="N1694" s="1251">
        <f>+N1693-N1692</f>
        <v>0</v>
      </c>
      <c r="O1694" s="542"/>
    </row>
    <row r="1695" spans="1:16">
      <c r="C1695" s="686"/>
      <c r="D1695" s="687"/>
      <c r="E1695" s="671"/>
      <c r="F1695" s="671"/>
      <c r="G1695" s="688"/>
      <c r="H1695" s="1241"/>
      <c r="I1695" s="1241"/>
      <c r="J1695" s="1242"/>
      <c r="K1695" s="1241"/>
      <c r="L1695" s="1241"/>
      <c r="M1695" s="1241"/>
      <c r="N1695" s="1241"/>
      <c r="O1695" s="542"/>
    </row>
    <row r="1696" spans="1:16" ht="13.5" thickBot="1">
      <c r="C1696" s="689"/>
      <c r="D1696" s="1252"/>
      <c r="E1696" s="688"/>
      <c r="F1696" s="688"/>
      <c r="G1696" s="688"/>
      <c r="H1696" s="688"/>
      <c r="I1696" s="688"/>
      <c r="J1696" s="691"/>
      <c r="K1696" s="688"/>
      <c r="L1696" s="688"/>
      <c r="M1696" s="688"/>
      <c r="N1696" s="688"/>
      <c r="O1696" s="576"/>
    </row>
    <row r="1697" spans="1:15" ht="13.5" thickBot="1">
      <c r="C1697" s="692" t="s">
        <v>294</v>
      </c>
      <c r="D1697" s="693"/>
      <c r="E1697" s="693"/>
      <c r="F1697" s="693"/>
      <c r="G1697" s="693"/>
      <c r="H1697" s="693"/>
      <c r="I1697" s="694"/>
      <c r="J1697" s="695"/>
      <c r="K1697" s="542"/>
      <c r="L1697" s="542"/>
      <c r="M1697" s="542"/>
      <c r="N1697" s="542"/>
      <c r="O1697" s="696"/>
    </row>
    <row r="1698" spans="1:15" ht="15">
      <c r="C1698" s="697" t="s">
        <v>272</v>
      </c>
      <c r="D1698" s="1253">
        <v>0</v>
      </c>
      <c r="E1698" s="655" t="s">
        <v>273</v>
      </c>
      <c r="G1698" s="698"/>
      <c r="H1698" s="698"/>
      <c r="I1698" s="699">
        <v>2018</v>
      </c>
      <c r="J1698" s="586"/>
      <c r="K1698" s="1702" t="s">
        <v>459</v>
      </c>
      <c r="L1698" s="1702"/>
      <c r="M1698" s="1702"/>
      <c r="N1698" s="1702"/>
      <c r="O1698" s="1702"/>
    </row>
    <row r="1699" spans="1:15">
      <c r="C1699" s="697" t="s">
        <v>275</v>
      </c>
      <c r="D1699" s="865">
        <v>2015</v>
      </c>
      <c r="E1699" s="697" t="s">
        <v>276</v>
      </c>
      <c r="F1699" s="698"/>
      <c r="H1699" s="330"/>
      <c r="I1699" s="1254">
        <f>IF(G1692="",0,$F$15)</f>
        <v>0</v>
      </c>
      <c r="J1699" s="700"/>
      <c r="K1699" s="1242" t="s">
        <v>459</v>
      </c>
    </row>
    <row r="1700" spans="1:15">
      <c r="C1700" s="697" t="s">
        <v>277</v>
      </c>
      <c r="D1700" s="1253">
        <v>6</v>
      </c>
      <c r="E1700" s="697" t="s">
        <v>278</v>
      </c>
      <c r="F1700" s="698"/>
      <c r="H1700" s="330"/>
      <c r="I1700" s="701">
        <f>$G$70</f>
        <v>0.15341253840442806</v>
      </c>
      <c r="J1700" s="702"/>
      <c r="K1700" s="330" t="str">
        <f>"          INPUT PROJECTED ARR (WITH &amp; WITHOUT INCENTIVES) FROM EACH PRIOR YEAR"</f>
        <v xml:space="preserve">          INPUT PROJECTED ARR (WITH &amp; WITHOUT INCENTIVES) FROM EACH PRIOR YEAR</v>
      </c>
    </row>
    <row r="1701" spans="1:15">
      <c r="C1701" s="697" t="s">
        <v>279</v>
      </c>
      <c r="D1701" s="1287">
        <f>G$79</f>
        <v>44</v>
      </c>
      <c r="E1701" s="697" t="s">
        <v>280</v>
      </c>
      <c r="F1701" s="698"/>
      <c r="H1701" s="330"/>
      <c r="I1701" s="701">
        <f>IF(G1692="",I1700,$G$67)</f>
        <v>0.15341253840442806</v>
      </c>
      <c r="J1701" s="704"/>
      <c r="K1701" s="330" t="s">
        <v>357</v>
      </c>
    </row>
    <row r="1702" spans="1:15" ht="13.5" thickBot="1">
      <c r="C1702" s="697" t="s">
        <v>281</v>
      </c>
      <c r="D1702" s="1253" t="s">
        <v>933</v>
      </c>
      <c r="E1702" s="705" t="s">
        <v>282</v>
      </c>
      <c r="F1702" s="706"/>
      <c r="G1702" s="707"/>
      <c r="H1702" s="707"/>
      <c r="I1702" s="1251">
        <f>IF(D1698=0,0,D1698/D1701)</f>
        <v>0</v>
      </c>
      <c r="J1702" s="1242"/>
      <c r="K1702" s="1242" t="s">
        <v>363</v>
      </c>
      <c r="L1702" s="1242"/>
      <c r="M1702" s="1242"/>
      <c r="N1702" s="1242"/>
      <c r="O1702" s="588"/>
    </row>
    <row r="1703" spans="1:15" ht="51">
      <c r="A1703" s="529"/>
      <c r="B1703" s="1255"/>
      <c r="C1703" s="708" t="s">
        <v>272</v>
      </c>
      <c r="D1703" s="1256" t="s">
        <v>283</v>
      </c>
      <c r="E1703" s="1257" t="s">
        <v>284</v>
      </c>
      <c r="F1703" s="1256" t="s">
        <v>285</v>
      </c>
      <c r="G1703" s="1257" t="s">
        <v>356</v>
      </c>
      <c r="H1703" s="1258" t="s">
        <v>356</v>
      </c>
      <c r="I1703" s="708" t="s">
        <v>295</v>
      </c>
      <c r="J1703" s="712"/>
      <c r="K1703" s="1257" t="s">
        <v>365</v>
      </c>
      <c r="L1703" s="1259"/>
      <c r="M1703" s="1257" t="s">
        <v>365</v>
      </c>
      <c r="N1703" s="1259"/>
      <c r="O1703" s="1259"/>
    </row>
    <row r="1704" spans="1:15" ht="13.5" thickBot="1">
      <c r="C1704" s="714" t="s">
        <v>177</v>
      </c>
      <c r="D1704" s="715" t="s">
        <v>178</v>
      </c>
      <c r="E1704" s="714" t="s">
        <v>37</v>
      </c>
      <c r="F1704" s="715" t="s">
        <v>178</v>
      </c>
      <c r="G1704" s="1260" t="s">
        <v>298</v>
      </c>
      <c r="H1704" s="1261" t="s">
        <v>300</v>
      </c>
      <c r="I1704" s="718" t="s">
        <v>389</v>
      </c>
      <c r="J1704" s="719"/>
      <c r="K1704" s="1260" t="s">
        <v>287</v>
      </c>
      <c r="L1704" s="1262"/>
      <c r="M1704" s="1260" t="s">
        <v>300</v>
      </c>
      <c r="N1704" s="1262"/>
      <c r="O1704" s="1262"/>
    </row>
    <row r="1705" spans="1:15">
      <c r="C1705" s="720">
        <f>IF(D1699= "","-",D1699)</f>
        <v>2015</v>
      </c>
      <c r="D1705" s="673">
        <f>+D1698</f>
        <v>0</v>
      </c>
      <c r="E1705" s="1263">
        <f>+I1702/12*(12-D1700)</f>
        <v>0</v>
      </c>
      <c r="F1705" s="673">
        <f t="shared" ref="F1705:F1764" si="108">+D1705-E1705</f>
        <v>0</v>
      </c>
      <c r="G1705" s="1264">
        <f>+$I$1700*((D1705+F1705)/2)+E1705</f>
        <v>0</v>
      </c>
      <c r="H1705" s="1265">
        <f>$I$1701*((D1705+F1705)/2)+E1705</f>
        <v>0</v>
      </c>
      <c r="I1705" s="724">
        <f>+H1705-G1705</f>
        <v>0</v>
      </c>
      <c r="J1705" s="724"/>
      <c r="K1705" s="868">
        <v>0</v>
      </c>
      <c r="L1705" s="725"/>
      <c r="M1705" s="868">
        <v>0</v>
      </c>
      <c r="N1705" s="725"/>
      <c r="O1705" s="725"/>
    </row>
    <row r="1706" spans="1:15">
      <c r="C1706" s="720">
        <f>IF(D1699="","-",+C1705+1)</f>
        <v>2016</v>
      </c>
      <c r="D1706" s="673">
        <f t="shared" ref="D1706:D1764" si="109">F1705</f>
        <v>0</v>
      </c>
      <c r="E1706" s="726">
        <f>IF(D1706&gt;$I$1702,$I$1702,D1706)</f>
        <v>0</v>
      </c>
      <c r="F1706" s="673">
        <f t="shared" si="108"/>
        <v>0</v>
      </c>
      <c r="G1706" s="1263">
        <f t="shared" ref="G1706:G1764" si="110">+$I$1700*((D1706+F1706)/2)+E1706</f>
        <v>0</v>
      </c>
      <c r="H1706" s="1266">
        <f t="shared" ref="H1706:H1764" si="111">$I$1701*((D1706+F1706)/2)+E1706</f>
        <v>0</v>
      </c>
      <c r="I1706" s="724">
        <f t="shared" ref="I1706:I1764" si="112">+H1706-G1706</f>
        <v>0</v>
      </c>
      <c r="J1706" s="724"/>
      <c r="K1706" s="869">
        <v>935319</v>
      </c>
      <c r="L1706" s="729"/>
      <c r="M1706" s="869">
        <v>935319</v>
      </c>
      <c r="N1706" s="729"/>
      <c r="O1706" s="729"/>
    </row>
    <row r="1707" spans="1:15">
      <c r="C1707" s="720">
        <f>IF(D1699="","-",+C1706+1)</f>
        <v>2017</v>
      </c>
      <c r="D1707" s="673">
        <f t="shared" si="109"/>
        <v>0</v>
      </c>
      <c r="E1707" s="726">
        <f t="shared" ref="E1707:E1764" si="113">IF(D1707&gt;$I$1702,$I$1702,D1707)</f>
        <v>0</v>
      </c>
      <c r="F1707" s="673">
        <f t="shared" si="108"/>
        <v>0</v>
      </c>
      <c r="G1707" s="1263">
        <f t="shared" si="110"/>
        <v>0</v>
      </c>
      <c r="H1707" s="1266">
        <f t="shared" si="111"/>
        <v>0</v>
      </c>
      <c r="I1707" s="724">
        <f t="shared" si="112"/>
        <v>0</v>
      </c>
      <c r="J1707" s="724"/>
      <c r="K1707" s="869">
        <v>1027649</v>
      </c>
      <c r="L1707" s="729"/>
      <c r="M1707" s="869">
        <v>1024649</v>
      </c>
      <c r="N1707" s="729"/>
      <c r="O1707" s="729"/>
    </row>
    <row r="1708" spans="1:15">
      <c r="C1708" s="720">
        <f>IF(D1699="","-",+C1707+1)</f>
        <v>2018</v>
      </c>
      <c r="D1708" s="673">
        <f t="shared" si="109"/>
        <v>0</v>
      </c>
      <c r="E1708" s="726">
        <f t="shared" si="113"/>
        <v>0</v>
      </c>
      <c r="F1708" s="673">
        <f t="shared" si="108"/>
        <v>0</v>
      </c>
      <c r="G1708" s="1263">
        <f t="shared" si="110"/>
        <v>0</v>
      </c>
      <c r="H1708" s="1266">
        <f t="shared" si="111"/>
        <v>0</v>
      </c>
      <c r="I1708" s="724">
        <f t="shared" si="112"/>
        <v>0</v>
      </c>
      <c r="J1708" s="724"/>
      <c r="K1708" s="869"/>
      <c r="L1708" s="729"/>
      <c r="M1708" s="869"/>
      <c r="N1708" s="729"/>
      <c r="O1708" s="729"/>
    </row>
    <row r="1709" spans="1:15">
      <c r="C1709" s="720">
        <f>IF(D1699="","-",+C1708+1)</f>
        <v>2019</v>
      </c>
      <c r="D1709" s="673">
        <f t="shared" si="109"/>
        <v>0</v>
      </c>
      <c r="E1709" s="726">
        <f t="shared" si="113"/>
        <v>0</v>
      </c>
      <c r="F1709" s="673">
        <f t="shared" si="108"/>
        <v>0</v>
      </c>
      <c r="G1709" s="1263">
        <f t="shared" si="110"/>
        <v>0</v>
      </c>
      <c r="H1709" s="1266">
        <f t="shared" si="111"/>
        <v>0</v>
      </c>
      <c r="I1709" s="724">
        <f t="shared" si="112"/>
        <v>0</v>
      </c>
      <c r="J1709" s="724"/>
      <c r="K1709" s="869"/>
      <c r="L1709" s="729"/>
      <c r="M1709" s="869"/>
      <c r="N1709" s="729"/>
      <c r="O1709" s="729"/>
    </row>
    <row r="1710" spans="1:15">
      <c r="C1710" s="720">
        <f>IF(D1699="","-",+C1709+1)</f>
        <v>2020</v>
      </c>
      <c r="D1710" s="673">
        <f t="shared" si="109"/>
        <v>0</v>
      </c>
      <c r="E1710" s="726">
        <f t="shared" si="113"/>
        <v>0</v>
      </c>
      <c r="F1710" s="673">
        <f t="shared" si="108"/>
        <v>0</v>
      </c>
      <c r="G1710" s="1263">
        <f t="shared" si="110"/>
        <v>0</v>
      </c>
      <c r="H1710" s="1266">
        <f t="shared" si="111"/>
        <v>0</v>
      </c>
      <c r="I1710" s="724">
        <f t="shared" si="112"/>
        <v>0</v>
      </c>
      <c r="J1710" s="724"/>
      <c r="K1710" s="869"/>
      <c r="L1710" s="729"/>
      <c r="M1710" s="869"/>
      <c r="N1710" s="729"/>
      <c r="O1710" s="729"/>
    </row>
    <row r="1711" spans="1:15">
      <c r="C1711" s="720">
        <f>IF(D1699="","-",+C1710+1)</f>
        <v>2021</v>
      </c>
      <c r="D1711" s="673">
        <f t="shared" si="109"/>
        <v>0</v>
      </c>
      <c r="E1711" s="726">
        <f t="shared" si="113"/>
        <v>0</v>
      </c>
      <c r="F1711" s="673">
        <f t="shared" si="108"/>
        <v>0</v>
      </c>
      <c r="G1711" s="1263">
        <f t="shared" si="110"/>
        <v>0</v>
      </c>
      <c r="H1711" s="1266">
        <f t="shared" si="111"/>
        <v>0</v>
      </c>
      <c r="I1711" s="724">
        <f t="shared" si="112"/>
        <v>0</v>
      </c>
      <c r="J1711" s="724"/>
      <c r="K1711" s="869"/>
      <c r="L1711" s="729"/>
      <c r="M1711" s="869"/>
      <c r="N1711" s="729"/>
      <c r="O1711" s="729"/>
    </row>
    <row r="1712" spans="1:15">
      <c r="C1712" s="720">
        <f>IF(D1699="","-",+C1711+1)</f>
        <v>2022</v>
      </c>
      <c r="D1712" s="673">
        <f t="shared" si="109"/>
        <v>0</v>
      </c>
      <c r="E1712" s="726">
        <f t="shared" si="113"/>
        <v>0</v>
      </c>
      <c r="F1712" s="673">
        <f t="shared" si="108"/>
        <v>0</v>
      </c>
      <c r="G1712" s="1263">
        <f t="shared" si="110"/>
        <v>0</v>
      </c>
      <c r="H1712" s="1266">
        <f t="shared" si="111"/>
        <v>0</v>
      </c>
      <c r="I1712" s="724">
        <f t="shared" si="112"/>
        <v>0</v>
      </c>
      <c r="J1712" s="724"/>
      <c r="K1712" s="869"/>
      <c r="L1712" s="729"/>
      <c r="M1712" s="869"/>
      <c r="N1712" s="729"/>
      <c r="O1712" s="729"/>
    </row>
    <row r="1713" spans="3:15">
      <c r="C1713" s="720">
        <f>IF(D1699="","-",+C1712+1)</f>
        <v>2023</v>
      </c>
      <c r="D1713" s="673">
        <f t="shared" si="109"/>
        <v>0</v>
      </c>
      <c r="E1713" s="726">
        <f t="shared" si="113"/>
        <v>0</v>
      </c>
      <c r="F1713" s="673">
        <f t="shared" si="108"/>
        <v>0</v>
      </c>
      <c r="G1713" s="1263">
        <f t="shared" si="110"/>
        <v>0</v>
      </c>
      <c r="H1713" s="1266">
        <f t="shared" si="111"/>
        <v>0</v>
      </c>
      <c r="I1713" s="724">
        <f t="shared" si="112"/>
        <v>0</v>
      </c>
      <c r="J1713" s="724"/>
      <c r="K1713" s="869"/>
      <c r="L1713" s="729"/>
      <c r="M1713" s="869"/>
      <c r="N1713" s="729"/>
      <c r="O1713" s="729"/>
    </row>
    <row r="1714" spans="3:15">
      <c r="C1714" s="720">
        <f>IF(D1699="","-",+C1713+1)</f>
        <v>2024</v>
      </c>
      <c r="D1714" s="673">
        <f t="shared" si="109"/>
        <v>0</v>
      </c>
      <c r="E1714" s="726">
        <f t="shared" si="113"/>
        <v>0</v>
      </c>
      <c r="F1714" s="673">
        <f t="shared" si="108"/>
        <v>0</v>
      </c>
      <c r="G1714" s="1263">
        <f t="shared" si="110"/>
        <v>0</v>
      </c>
      <c r="H1714" s="1266">
        <f t="shared" si="111"/>
        <v>0</v>
      </c>
      <c r="I1714" s="724">
        <f t="shared" si="112"/>
        <v>0</v>
      </c>
      <c r="J1714" s="724"/>
      <c r="K1714" s="869"/>
      <c r="L1714" s="729"/>
      <c r="M1714" s="869"/>
      <c r="N1714" s="729"/>
      <c r="O1714" s="729"/>
    </row>
    <row r="1715" spans="3:15">
      <c r="C1715" s="720">
        <f>IF(D1699="","-",+C1714+1)</f>
        <v>2025</v>
      </c>
      <c r="D1715" s="673">
        <f t="shared" si="109"/>
        <v>0</v>
      </c>
      <c r="E1715" s="726">
        <f t="shared" si="113"/>
        <v>0</v>
      </c>
      <c r="F1715" s="673">
        <f t="shared" si="108"/>
        <v>0</v>
      </c>
      <c r="G1715" s="1263">
        <f t="shared" si="110"/>
        <v>0</v>
      </c>
      <c r="H1715" s="1266">
        <f t="shared" si="111"/>
        <v>0</v>
      </c>
      <c r="I1715" s="724">
        <f t="shared" si="112"/>
        <v>0</v>
      </c>
      <c r="J1715" s="724"/>
      <c r="K1715" s="869"/>
      <c r="L1715" s="729"/>
      <c r="M1715" s="869"/>
      <c r="N1715" s="729"/>
      <c r="O1715" s="729"/>
    </row>
    <row r="1716" spans="3:15">
      <c r="C1716" s="720">
        <f>IF(D1699="","-",+C1715+1)</f>
        <v>2026</v>
      </c>
      <c r="D1716" s="673">
        <f t="shared" si="109"/>
        <v>0</v>
      </c>
      <c r="E1716" s="726">
        <f t="shared" si="113"/>
        <v>0</v>
      </c>
      <c r="F1716" s="673">
        <f t="shared" si="108"/>
        <v>0</v>
      </c>
      <c r="G1716" s="1263">
        <f t="shared" si="110"/>
        <v>0</v>
      </c>
      <c r="H1716" s="1266">
        <f t="shared" si="111"/>
        <v>0</v>
      </c>
      <c r="I1716" s="724">
        <f t="shared" si="112"/>
        <v>0</v>
      </c>
      <c r="J1716" s="724"/>
      <c r="K1716" s="869"/>
      <c r="L1716" s="729"/>
      <c r="M1716" s="869"/>
      <c r="N1716" s="729"/>
      <c r="O1716" s="729"/>
    </row>
    <row r="1717" spans="3:15">
      <c r="C1717" s="720">
        <f>IF(D1699="","-",+C1716+1)</f>
        <v>2027</v>
      </c>
      <c r="D1717" s="673">
        <f t="shared" si="109"/>
        <v>0</v>
      </c>
      <c r="E1717" s="726">
        <f t="shared" si="113"/>
        <v>0</v>
      </c>
      <c r="F1717" s="673">
        <f t="shared" si="108"/>
        <v>0</v>
      </c>
      <c r="G1717" s="1263">
        <f t="shared" si="110"/>
        <v>0</v>
      </c>
      <c r="H1717" s="1266">
        <f t="shared" si="111"/>
        <v>0</v>
      </c>
      <c r="I1717" s="724">
        <f t="shared" si="112"/>
        <v>0</v>
      </c>
      <c r="J1717" s="724"/>
      <c r="K1717" s="869"/>
      <c r="L1717" s="729"/>
      <c r="M1717" s="869"/>
      <c r="N1717" s="729"/>
      <c r="O1717" s="729"/>
    </row>
    <row r="1718" spans="3:15">
      <c r="C1718" s="720">
        <f>IF(D1699="","-",+C1717+1)</f>
        <v>2028</v>
      </c>
      <c r="D1718" s="673">
        <f t="shared" si="109"/>
        <v>0</v>
      </c>
      <c r="E1718" s="726">
        <f t="shared" si="113"/>
        <v>0</v>
      </c>
      <c r="F1718" s="673">
        <f t="shared" si="108"/>
        <v>0</v>
      </c>
      <c r="G1718" s="1263">
        <f t="shared" si="110"/>
        <v>0</v>
      </c>
      <c r="H1718" s="1266">
        <f t="shared" si="111"/>
        <v>0</v>
      </c>
      <c r="I1718" s="724">
        <f t="shared" si="112"/>
        <v>0</v>
      </c>
      <c r="J1718" s="724"/>
      <c r="K1718" s="869"/>
      <c r="L1718" s="729"/>
      <c r="M1718" s="869"/>
      <c r="N1718" s="729"/>
      <c r="O1718" s="729"/>
    </row>
    <row r="1719" spans="3:15">
      <c r="C1719" s="720">
        <f>IF(D1699="","-",+C1718+1)</f>
        <v>2029</v>
      </c>
      <c r="D1719" s="673">
        <f t="shared" si="109"/>
        <v>0</v>
      </c>
      <c r="E1719" s="726">
        <f t="shared" si="113"/>
        <v>0</v>
      </c>
      <c r="F1719" s="673">
        <f t="shared" si="108"/>
        <v>0</v>
      </c>
      <c r="G1719" s="1263">
        <f t="shared" si="110"/>
        <v>0</v>
      </c>
      <c r="H1719" s="1266">
        <f t="shared" si="111"/>
        <v>0</v>
      </c>
      <c r="I1719" s="724">
        <f t="shared" si="112"/>
        <v>0</v>
      </c>
      <c r="J1719" s="724"/>
      <c r="K1719" s="869"/>
      <c r="L1719" s="729"/>
      <c r="M1719" s="869"/>
      <c r="N1719" s="729"/>
      <c r="O1719" s="729"/>
    </row>
    <row r="1720" spans="3:15">
      <c r="C1720" s="720">
        <f>IF(D1699="","-",+C1719+1)</f>
        <v>2030</v>
      </c>
      <c r="D1720" s="673">
        <f t="shared" si="109"/>
        <v>0</v>
      </c>
      <c r="E1720" s="726">
        <f t="shared" si="113"/>
        <v>0</v>
      </c>
      <c r="F1720" s="673">
        <f t="shared" si="108"/>
        <v>0</v>
      </c>
      <c r="G1720" s="1263">
        <f t="shared" si="110"/>
        <v>0</v>
      </c>
      <c r="H1720" s="1266">
        <f t="shared" si="111"/>
        <v>0</v>
      </c>
      <c r="I1720" s="724">
        <f t="shared" si="112"/>
        <v>0</v>
      </c>
      <c r="J1720" s="724"/>
      <c r="K1720" s="869"/>
      <c r="L1720" s="729"/>
      <c r="M1720" s="869"/>
      <c r="N1720" s="729"/>
      <c r="O1720" s="729"/>
    </row>
    <row r="1721" spans="3:15">
      <c r="C1721" s="720">
        <f>IF(D1699="","-",+C1720+1)</f>
        <v>2031</v>
      </c>
      <c r="D1721" s="673">
        <f t="shared" si="109"/>
        <v>0</v>
      </c>
      <c r="E1721" s="726">
        <f t="shared" si="113"/>
        <v>0</v>
      </c>
      <c r="F1721" s="673">
        <f t="shared" si="108"/>
        <v>0</v>
      </c>
      <c r="G1721" s="1263">
        <f t="shared" si="110"/>
        <v>0</v>
      </c>
      <c r="H1721" s="1266">
        <f t="shared" si="111"/>
        <v>0</v>
      </c>
      <c r="I1721" s="724">
        <f t="shared" si="112"/>
        <v>0</v>
      </c>
      <c r="J1721" s="724"/>
      <c r="K1721" s="869"/>
      <c r="L1721" s="729"/>
      <c r="M1721" s="869"/>
      <c r="N1721" s="729"/>
      <c r="O1721" s="729"/>
    </row>
    <row r="1722" spans="3:15">
      <c r="C1722" s="720">
        <f>IF(D1699="","-",+C1721+1)</f>
        <v>2032</v>
      </c>
      <c r="D1722" s="673">
        <f t="shared" si="109"/>
        <v>0</v>
      </c>
      <c r="E1722" s="726">
        <f t="shared" si="113"/>
        <v>0</v>
      </c>
      <c r="F1722" s="673">
        <f t="shared" si="108"/>
        <v>0</v>
      </c>
      <c r="G1722" s="1263">
        <f t="shared" si="110"/>
        <v>0</v>
      </c>
      <c r="H1722" s="1266">
        <f t="shared" si="111"/>
        <v>0</v>
      </c>
      <c r="I1722" s="724">
        <f t="shared" si="112"/>
        <v>0</v>
      </c>
      <c r="J1722" s="724"/>
      <c r="K1722" s="869"/>
      <c r="L1722" s="729"/>
      <c r="M1722" s="869"/>
      <c r="N1722" s="729"/>
      <c r="O1722" s="729"/>
    </row>
    <row r="1723" spans="3:15">
      <c r="C1723" s="720">
        <f>IF(D1699="","-",+C1722+1)</f>
        <v>2033</v>
      </c>
      <c r="D1723" s="673">
        <f t="shared" si="109"/>
        <v>0</v>
      </c>
      <c r="E1723" s="726">
        <f t="shared" si="113"/>
        <v>0</v>
      </c>
      <c r="F1723" s="673">
        <f t="shared" si="108"/>
        <v>0</v>
      </c>
      <c r="G1723" s="1263">
        <f t="shared" si="110"/>
        <v>0</v>
      </c>
      <c r="H1723" s="1266">
        <f t="shared" si="111"/>
        <v>0</v>
      </c>
      <c r="I1723" s="724">
        <f t="shared" si="112"/>
        <v>0</v>
      </c>
      <c r="J1723" s="724"/>
      <c r="K1723" s="869"/>
      <c r="L1723" s="729"/>
      <c r="M1723" s="869"/>
      <c r="N1723" s="729"/>
      <c r="O1723" s="729"/>
    </row>
    <row r="1724" spans="3:15">
      <c r="C1724" s="720">
        <f>IF(D1699="","-",+C1723+1)</f>
        <v>2034</v>
      </c>
      <c r="D1724" s="673">
        <f t="shared" si="109"/>
        <v>0</v>
      </c>
      <c r="E1724" s="726">
        <f t="shared" si="113"/>
        <v>0</v>
      </c>
      <c r="F1724" s="673">
        <f t="shared" si="108"/>
        <v>0</v>
      </c>
      <c r="G1724" s="1263">
        <f t="shared" si="110"/>
        <v>0</v>
      </c>
      <c r="H1724" s="1266">
        <f t="shared" si="111"/>
        <v>0</v>
      </c>
      <c r="I1724" s="724">
        <f t="shared" si="112"/>
        <v>0</v>
      </c>
      <c r="J1724" s="724"/>
      <c r="K1724" s="869"/>
      <c r="L1724" s="729"/>
      <c r="M1724" s="869"/>
      <c r="N1724" s="729"/>
      <c r="O1724" s="729"/>
    </row>
    <row r="1725" spans="3:15">
      <c r="C1725" s="720">
        <f>IF(D1699="","-",+C1724+1)</f>
        <v>2035</v>
      </c>
      <c r="D1725" s="673">
        <f t="shared" si="109"/>
        <v>0</v>
      </c>
      <c r="E1725" s="726">
        <f t="shared" si="113"/>
        <v>0</v>
      </c>
      <c r="F1725" s="673">
        <f t="shared" si="108"/>
        <v>0</v>
      </c>
      <c r="G1725" s="1263">
        <f t="shared" si="110"/>
        <v>0</v>
      </c>
      <c r="H1725" s="1266">
        <f t="shared" si="111"/>
        <v>0</v>
      </c>
      <c r="I1725" s="724">
        <f t="shared" si="112"/>
        <v>0</v>
      </c>
      <c r="J1725" s="724"/>
      <c r="K1725" s="869"/>
      <c r="L1725" s="729"/>
      <c r="M1725" s="869"/>
      <c r="N1725" s="729"/>
      <c r="O1725" s="729"/>
    </row>
    <row r="1726" spans="3:15">
      <c r="C1726" s="720">
        <f>IF(D1699="","-",+C1725+1)</f>
        <v>2036</v>
      </c>
      <c r="D1726" s="673">
        <f t="shared" si="109"/>
        <v>0</v>
      </c>
      <c r="E1726" s="726">
        <f t="shared" si="113"/>
        <v>0</v>
      </c>
      <c r="F1726" s="673">
        <f t="shared" si="108"/>
        <v>0</v>
      </c>
      <c r="G1726" s="1263">
        <f t="shared" si="110"/>
        <v>0</v>
      </c>
      <c r="H1726" s="1266">
        <f t="shared" si="111"/>
        <v>0</v>
      </c>
      <c r="I1726" s="724">
        <f t="shared" si="112"/>
        <v>0</v>
      </c>
      <c r="J1726" s="724"/>
      <c r="K1726" s="869"/>
      <c r="L1726" s="729"/>
      <c r="M1726" s="869"/>
      <c r="N1726" s="729"/>
      <c r="O1726" s="729"/>
    </row>
    <row r="1727" spans="3:15">
      <c r="C1727" s="720">
        <f>IF(D1699="","-",+C1726+1)</f>
        <v>2037</v>
      </c>
      <c r="D1727" s="673">
        <f t="shared" si="109"/>
        <v>0</v>
      </c>
      <c r="E1727" s="726">
        <f t="shared" si="113"/>
        <v>0</v>
      </c>
      <c r="F1727" s="673">
        <f t="shared" si="108"/>
        <v>0</v>
      </c>
      <c r="G1727" s="1263">
        <f t="shared" si="110"/>
        <v>0</v>
      </c>
      <c r="H1727" s="1266">
        <f t="shared" si="111"/>
        <v>0</v>
      </c>
      <c r="I1727" s="724">
        <f t="shared" si="112"/>
        <v>0</v>
      </c>
      <c r="J1727" s="724"/>
      <c r="K1727" s="869"/>
      <c r="L1727" s="729"/>
      <c r="M1727" s="869"/>
      <c r="N1727" s="729"/>
      <c r="O1727" s="729"/>
    </row>
    <row r="1728" spans="3:15">
      <c r="C1728" s="720">
        <f>IF(D1699="","-",+C1727+1)</f>
        <v>2038</v>
      </c>
      <c r="D1728" s="673">
        <f t="shared" si="109"/>
        <v>0</v>
      </c>
      <c r="E1728" s="726">
        <f t="shared" si="113"/>
        <v>0</v>
      </c>
      <c r="F1728" s="673">
        <f t="shared" si="108"/>
        <v>0</v>
      </c>
      <c r="G1728" s="1263">
        <f t="shared" si="110"/>
        <v>0</v>
      </c>
      <c r="H1728" s="1266">
        <f t="shared" si="111"/>
        <v>0</v>
      </c>
      <c r="I1728" s="724">
        <f t="shared" si="112"/>
        <v>0</v>
      </c>
      <c r="J1728" s="724"/>
      <c r="K1728" s="869"/>
      <c r="L1728" s="729"/>
      <c r="M1728" s="869"/>
      <c r="N1728" s="729"/>
      <c r="O1728" s="729"/>
    </row>
    <row r="1729" spans="3:15">
      <c r="C1729" s="720">
        <f>IF(D1699="","-",+C1728+1)</f>
        <v>2039</v>
      </c>
      <c r="D1729" s="673">
        <f t="shared" si="109"/>
        <v>0</v>
      </c>
      <c r="E1729" s="726">
        <f t="shared" si="113"/>
        <v>0</v>
      </c>
      <c r="F1729" s="673">
        <f t="shared" si="108"/>
        <v>0</v>
      </c>
      <c r="G1729" s="1263">
        <f t="shared" si="110"/>
        <v>0</v>
      </c>
      <c r="H1729" s="1266">
        <f t="shared" si="111"/>
        <v>0</v>
      </c>
      <c r="I1729" s="724">
        <f t="shared" si="112"/>
        <v>0</v>
      </c>
      <c r="J1729" s="724"/>
      <c r="K1729" s="869"/>
      <c r="L1729" s="729"/>
      <c r="M1729" s="869"/>
      <c r="N1729" s="729"/>
      <c r="O1729" s="729"/>
    </row>
    <row r="1730" spans="3:15">
      <c r="C1730" s="720">
        <f>IF(D1699="","-",+C1729+1)</f>
        <v>2040</v>
      </c>
      <c r="D1730" s="673">
        <f t="shared" si="109"/>
        <v>0</v>
      </c>
      <c r="E1730" s="726">
        <f t="shared" si="113"/>
        <v>0</v>
      </c>
      <c r="F1730" s="673">
        <f t="shared" si="108"/>
        <v>0</v>
      </c>
      <c r="G1730" s="1263">
        <f t="shared" si="110"/>
        <v>0</v>
      </c>
      <c r="H1730" s="1266">
        <f t="shared" si="111"/>
        <v>0</v>
      </c>
      <c r="I1730" s="724">
        <f t="shared" si="112"/>
        <v>0</v>
      </c>
      <c r="J1730" s="724"/>
      <c r="K1730" s="869"/>
      <c r="L1730" s="729"/>
      <c r="M1730" s="869"/>
      <c r="N1730" s="729"/>
      <c r="O1730" s="729"/>
    </row>
    <row r="1731" spans="3:15">
      <c r="C1731" s="720">
        <f>IF(D1699="","-",+C1730+1)</f>
        <v>2041</v>
      </c>
      <c r="D1731" s="673">
        <f t="shared" si="109"/>
        <v>0</v>
      </c>
      <c r="E1731" s="726">
        <f t="shared" si="113"/>
        <v>0</v>
      </c>
      <c r="F1731" s="673">
        <f t="shared" si="108"/>
        <v>0</v>
      </c>
      <c r="G1731" s="1263">
        <f t="shared" si="110"/>
        <v>0</v>
      </c>
      <c r="H1731" s="1266">
        <f t="shared" si="111"/>
        <v>0</v>
      </c>
      <c r="I1731" s="724">
        <f t="shared" si="112"/>
        <v>0</v>
      </c>
      <c r="J1731" s="724"/>
      <c r="K1731" s="869"/>
      <c r="L1731" s="729"/>
      <c r="M1731" s="869"/>
      <c r="N1731" s="729"/>
      <c r="O1731" s="729"/>
    </row>
    <row r="1732" spans="3:15">
      <c r="C1732" s="720">
        <f>IF(D1699="","-",+C1731+1)</f>
        <v>2042</v>
      </c>
      <c r="D1732" s="673">
        <f t="shared" si="109"/>
        <v>0</v>
      </c>
      <c r="E1732" s="726">
        <f t="shared" si="113"/>
        <v>0</v>
      </c>
      <c r="F1732" s="673">
        <f t="shared" si="108"/>
        <v>0</v>
      </c>
      <c r="G1732" s="1263">
        <f t="shared" si="110"/>
        <v>0</v>
      </c>
      <c r="H1732" s="1266">
        <f t="shared" si="111"/>
        <v>0</v>
      </c>
      <c r="I1732" s="724">
        <f t="shared" si="112"/>
        <v>0</v>
      </c>
      <c r="J1732" s="724"/>
      <c r="K1732" s="869"/>
      <c r="L1732" s="729"/>
      <c r="M1732" s="869"/>
      <c r="N1732" s="729"/>
      <c r="O1732" s="729"/>
    </row>
    <row r="1733" spans="3:15">
      <c r="C1733" s="720">
        <f>IF(D1699="","-",+C1732+1)</f>
        <v>2043</v>
      </c>
      <c r="D1733" s="673">
        <f t="shared" si="109"/>
        <v>0</v>
      </c>
      <c r="E1733" s="726">
        <f t="shared" si="113"/>
        <v>0</v>
      </c>
      <c r="F1733" s="673">
        <f t="shared" si="108"/>
        <v>0</v>
      </c>
      <c r="G1733" s="1264">
        <f t="shared" si="110"/>
        <v>0</v>
      </c>
      <c r="H1733" s="1266">
        <f t="shared" si="111"/>
        <v>0</v>
      </c>
      <c r="I1733" s="724">
        <f t="shared" si="112"/>
        <v>0</v>
      </c>
      <c r="J1733" s="724"/>
      <c r="K1733" s="869"/>
      <c r="L1733" s="729"/>
      <c r="M1733" s="869"/>
      <c r="N1733" s="729"/>
      <c r="O1733" s="729"/>
    </row>
    <row r="1734" spans="3:15">
      <c r="C1734" s="720">
        <f>IF(D1699="","-",+C1733+1)</f>
        <v>2044</v>
      </c>
      <c r="D1734" s="673">
        <f t="shared" si="109"/>
        <v>0</v>
      </c>
      <c r="E1734" s="726">
        <f t="shared" si="113"/>
        <v>0</v>
      </c>
      <c r="F1734" s="673">
        <f t="shared" si="108"/>
        <v>0</v>
      </c>
      <c r="G1734" s="1263">
        <f t="shared" si="110"/>
        <v>0</v>
      </c>
      <c r="H1734" s="1266">
        <f t="shared" si="111"/>
        <v>0</v>
      </c>
      <c r="I1734" s="724">
        <f t="shared" si="112"/>
        <v>0</v>
      </c>
      <c r="J1734" s="724"/>
      <c r="K1734" s="869"/>
      <c r="L1734" s="729"/>
      <c r="M1734" s="869"/>
      <c r="N1734" s="729"/>
      <c r="O1734" s="729"/>
    </row>
    <row r="1735" spans="3:15">
      <c r="C1735" s="720">
        <f>IF(D1699="","-",+C1734+1)</f>
        <v>2045</v>
      </c>
      <c r="D1735" s="673">
        <f t="shared" si="109"/>
        <v>0</v>
      </c>
      <c r="E1735" s="726">
        <f t="shared" si="113"/>
        <v>0</v>
      </c>
      <c r="F1735" s="673">
        <f t="shared" si="108"/>
        <v>0</v>
      </c>
      <c r="G1735" s="1263">
        <f t="shared" si="110"/>
        <v>0</v>
      </c>
      <c r="H1735" s="1266">
        <f t="shared" si="111"/>
        <v>0</v>
      </c>
      <c r="I1735" s="724">
        <f t="shared" si="112"/>
        <v>0</v>
      </c>
      <c r="J1735" s="724"/>
      <c r="K1735" s="869"/>
      <c r="L1735" s="729"/>
      <c r="M1735" s="869"/>
      <c r="N1735" s="729"/>
      <c r="O1735" s="729"/>
    </row>
    <row r="1736" spans="3:15">
      <c r="C1736" s="720">
        <f>IF(D1699="","-",+C1735+1)</f>
        <v>2046</v>
      </c>
      <c r="D1736" s="673">
        <f t="shared" si="109"/>
        <v>0</v>
      </c>
      <c r="E1736" s="726">
        <f t="shared" si="113"/>
        <v>0</v>
      </c>
      <c r="F1736" s="673">
        <f t="shared" si="108"/>
        <v>0</v>
      </c>
      <c r="G1736" s="1263">
        <f t="shared" si="110"/>
        <v>0</v>
      </c>
      <c r="H1736" s="1266">
        <f t="shared" si="111"/>
        <v>0</v>
      </c>
      <c r="I1736" s="724">
        <f t="shared" si="112"/>
        <v>0</v>
      </c>
      <c r="J1736" s="724"/>
      <c r="K1736" s="869"/>
      <c r="L1736" s="729"/>
      <c r="M1736" s="869"/>
      <c r="N1736" s="729"/>
      <c r="O1736" s="729"/>
    </row>
    <row r="1737" spans="3:15">
      <c r="C1737" s="720">
        <f>IF(D1699="","-",+C1736+1)</f>
        <v>2047</v>
      </c>
      <c r="D1737" s="673">
        <f t="shared" si="109"/>
        <v>0</v>
      </c>
      <c r="E1737" s="726">
        <f t="shared" si="113"/>
        <v>0</v>
      </c>
      <c r="F1737" s="673">
        <f t="shared" si="108"/>
        <v>0</v>
      </c>
      <c r="G1737" s="1263">
        <f t="shared" si="110"/>
        <v>0</v>
      </c>
      <c r="H1737" s="1266">
        <f t="shared" si="111"/>
        <v>0</v>
      </c>
      <c r="I1737" s="724">
        <f t="shared" si="112"/>
        <v>0</v>
      </c>
      <c r="J1737" s="724"/>
      <c r="K1737" s="869"/>
      <c r="L1737" s="729"/>
      <c r="M1737" s="869"/>
      <c r="N1737" s="729"/>
      <c r="O1737" s="729"/>
    </row>
    <row r="1738" spans="3:15">
      <c r="C1738" s="720">
        <f>IF(D1699="","-",+C1737+1)</f>
        <v>2048</v>
      </c>
      <c r="D1738" s="673">
        <f t="shared" si="109"/>
        <v>0</v>
      </c>
      <c r="E1738" s="726">
        <f t="shared" si="113"/>
        <v>0</v>
      </c>
      <c r="F1738" s="673">
        <f t="shared" si="108"/>
        <v>0</v>
      </c>
      <c r="G1738" s="1263">
        <f t="shared" si="110"/>
        <v>0</v>
      </c>
      <c r="H1738" s="1266">
        <f t="shared" si="111"/>
        <v>0</v>
      </c>
      <c r="I1738" s="724">
        <f t="shared" si="112"/>
        <v>0</v>
      </c>
      <c r="J1738" s="724"/>
      <c r="K1738" s="869"/>
      <c r="L1738" s="729"/>
      <c r="M1738" s="869"/>
      <c r="N1738" s="729"/>
      <c r="O1738" s="729"/>
    </row>
    <row r="1739" spans="3:15">
      <c r="C1739" s="720">
        <f>IF(D1699="","-",+C1738+1)</f>
        <v>2049</v>
      </c>
      <c r="D1739" s="673">
        <f t="shared" si="109"/>
        <v>0</v>
      </c>
      <c r="E1739" s="726">
        <f t="shared" si="113"/>
        <v>0</v>
      </c>
      <c r="F1739" s="673">
        <f t="shared" si="108"/>
        <v>0</v>
      </c>
      <c r="G1739" s="1263">
        <f t="shared" si="110"/>
        <v>0</v>
      </c>
      <c r="H1739" s="1266">
        <f t="shared" si="111"/>
        <v>0</v>
      </c>
      <c r="I1739" s="724">
        <f t="shared" si="112"/>
        <v>0</v>
      </c>
      <c r="J1739" s="724"/>
      <c r="K1739" s="869"/>
      <c r="L1739" s="729"/>
      <c r="M1739" s="869"/>
      <c r="N1739" s="729"/>
      <c r="O1739" s="729"/>
    </row>
    <row r="1740" spans="3:15">
      <c r="C1740" s="720">
        <f>IF(D1699="","-",+C1739+1)</f>
        <v>2050</v>
      </c>
      <c r="D1740" s="673">
        <f t="shared" si="109"/>
        <v>0</v>
      </c>
      <c r="E1740" s="726">
        <f t="shared" si="113"/>
        <v>0</v>
      </c>
      <c r="F1740" s="673">
        <f t="shared" si="108"/>
        <v>0</v>
      </c>
      <c r="G1740" s="1263">
        <f t="shared" si="110"/>
        <v>0</v>
      </c>
      <c r="H1740" s="1266">
        <f t="shared" si="111"/>
        <v>0</v>
      </c>
      <c r="I1740" s="724">
        <f t="shared" si="112"/>
        <v>0</v>
      </c>
      <c r="J1740" s="724"/>
      <c r="K1740" s="869"/>
      <c r="L1740" s="729"/>
      <c r="M1740" s="869"/>
      <c r="N1740" s="729"/>
      <c r="O1740" s="729"/>
    </row>
    <row r="1741" spans="3:15">
      <c r="C1741" s="720">
        <f>IF(D1699="","-",+C1740+1)</f>
        <v>2051</v>
      </c>
      <c r="D1741" s="673">
        <f t="shared" si="109"/>
        <v>0</v>
      </c>
      <c r="E1741" s="726">
        <f t="shared" si="113"/>
        <v>0</v>
      </c>
      <c r="F1741" s="673">
        <f t="shared" si="108"/>
        <v>0</v>
      </c>
      <c r="G1741" s="1263">
        <f t="shared" si="110"/>
        <v>0</v>
      </c>
      <c r="H1741" s="1266">
        <f t="shared" si="111"/>
        <v>0</v>
      </c>
      <c r="I1741" s="724">
        <f t="shared" si="112"/>
        <v>0</v>
      </c>
      <c r="J1741" s="724"/>
      <c r="K1741" s="869"/>
      <c r="L1741" s="729"/>
      <c r="M1741" s="869"/>
      <c r="N1741" s="729"/>
      <c r="O1741" s="729"/>
    </row>
    <row r="1742" spans="3:15">
      <c r="C1742" s="720">
        <f>IF(D1699="","-",+C1741+1)</f>
        <v>2052</v>
      </c>
      <c r="D1742" s="673">
        <f t="shared" si="109"/>
        <v>0</v>
      </c>
      <c r="E1742" s="726">
        <f t="shared" si="113"/>
        <v>0</v>
      </c>
      <c r="F1742" s="673">
        <f t="shared" si="108"/>
        <v>0</v>
      </c>
      <c r="G1742" s="1263">
        <f t="shared" si="110"/>
        <v>0</v>
      </c>
      <c r="H1742" s="1266">
        <f t="shared" si="111"/>
        <v>0</v>
      </c>
      <c r="I1742" s="724">
        <f t="shared" si="112"/>
        <v>0</v>
      </c>
      <c r="J1742" s="724"/>
      <c r="K1742" s="869"/>
      <c r="L1742" s="729"/>
      <c r="M1742" s="869"/>
      <c r="N1742" s="729"/>
      <c r="O1742" s="729"/>
    </row>
    <row r="1743" spans="3:15">
      <c r="C1743" s="720">
        <f>IF(D1699="","-",+C1742+1)</f>
        <v>2053</v>
      </c>
      <c r="D1743" s="673">
        <f t="shared" si="109"/>
        <v>0</v>
      </c>
      <c r="E1743" s="726">
        <f t="shared" si="113"/>
        <v>0</v>
      </c>
      <c r="F1743" s="673">
        <f t="shared" si="108"/>
        <v>0</v>
      </c>
      <c r="G1743" s="1263">
        <f t="shared" si="110"/>
        <v>0</v>
      </c>
      <c r="H1743" s="1266">
        <f t="shared" si="111"/>
        <v>0</v>
      </c>
      <c r="I1743" s="724">
        <f t="shared" si="112"/>
        <v>0</v>
      </c>
      <c r="J1743" s="724"/>
      <c r="K1743" s="869"/>
      <c r="L1743" s="729"/>
      <c r="M1743" s="869"/>
      <c r="N1743" s="729"/>
      <c r="O1743" s="729"/>
    </row>
    <row r="1744" spans="3:15">
      <c r="C1744" s="720">
        <f>IF(D1699="","-",+C1743+1)</f>
        <v>2054</v>
      </c>
      <c r="D1744" s="673">
        <f t="shared" si="109"/>
        <v>0</v>
      </c>
      <c r="E1744" s="726">
        <f t="shared" si="113"/>
        <v>0</v>
      </c>
      <c r="F1744" s="673">
        <f t="shared" si="108"/>
        <v>0</v>
      </c>
      <c r="G1744" s="1263">
        <f t="shared" si="110"/>
        <v>0</v>
      </c>
      <c r="H1744" s="1266">
        <f t="shared" si="111"/>
        <v>0</v>
      </c>
      <c r="I1744" s="724">
        <f t="shared" si="112"/>
        <v>0</v>
      </c>
      <c r="J1744" s="724"/>
      <c r="K1744" s="869"/>
      <c r="L1744" s="729"/>
      <c r="M1744" s="869"/>
      <c r="N1744" s="729"/>
      <c r="O1744" s="729"/>
    </row>
    <row r="1745" spans="3:15">
      <c r="C1745" s="720">
        <f>IF(D1699="","-",+C1744+1)</f>
        <v>2055</v>
      </c>
      <c r="D1745" s="673">
        <f t="shared" si="109"/>
        <v>0</v>
      </c>
      <c r="E1745" s="726">
        <f t="shared" si="113"/>
        <v>0</v>
      </c>
      <c r="F1745" s="673">
        <f t="shared" si="108"/>
        <v>0</v>
      </c>
      <c r="G1745" s="1263">
        <f t="shared" si="110"/>
        <v>0</v>
      </c>
      <c r="H1745" s="1266">
        <f t="shared" si="111"/>
        <v>0</v>
      </c>
      <c r="I1745" s="724">
        <f t="shared" si="112"/>
        <v>0</v>
      </c>
      <c r="J1745" s="724"/>
      <c r="K1745" s="869"/>
      <c r="L1745" s="729"/>
      <c r="M1745" s="869"/>
      <c r="N1745" s="729"/>
      <c r="O1745" s="729"/>
    </row>
    <row r="1746" spans="3:15">
      <c r="C1746" s="720">
        <f>IF(D1699="","-",+C1745+1)</f>
        <v>2056</v>
      </c>
      <c r="D1746" s="673">
        <f t="shared" si="109"/>
        <v>0</v>
      </c>
      <c r="E1746" s="726">
        <f t="shared" si="113"/>
        <v>0</v>
      </c>
      <c r="F1746" s="673">
        <f t="shared" si="108"/>
        <v>0</v>
      </c>
      <c r="G1746" s="1263">
        <f t="shared" si="110"/>
        <v>0</v>
      </c>
      <c r="H1746" s="1266">
        <f t="shared" si="111"/>
        <v>0</v>
      </c>
      <c r="I1746" s="724">
        <f t="shared" si="112"/>
        <v>0</v>
      </c>
      <c r="J1746" s="724"/>
      <c r="K1746" s="869"/>
      <c r="L1746" s="729"/>
      <c r="M1746" s="869"/>
      <c r="N1746" s="729"/>
      <c r="O1746" s="729"/>
    </row>
    <row r="1747" spans="3:15">
      <c r="C1747" s="720">
        <f>IF(D1699="","-",+C1746+1)</f>
        <v>2057</v>
      </c>
      <c r="D1747" s="673">
        <f t="shared" si="109"/>
        <v>0</v>
      </c>
      <c r="E1747" s="726">
        <f t="shared" si="113"/>
        <v>0</v>
      </c>
      <c r="F1747" s="673">
        <f t="shared" si="108"/>
        <v>0</v>
      </c>
      <c r="G1747" s="1263">
        <f t="shared" si="110"/>
        <v>0</v>
      </c>
      <c r="H1747" s="1266">
        <f t="shared" si="111"/>
        <v>0</v>
      </c>
      <c r="I1747" s="724">
        <f t="shared" si="112"/>
        <v>0</v>
      </c>
      <c r="J1747" s="724"/>
      <c r="K1747" s="869"/>
      <c r="L1747" s="729"/>
      <c r="M1747" s="869"/>
      <c r="N1747" s="729"/>
      <c r="O1747" s="729"/>
    </row>
    <row r="1748" spans="3:15">
      <c r="C1748" s="720">
        <f>IF(D1699="","-",+C1747+1)</f>
        <v>2058</v>
      </c>
      <c r="D1748" s="673">
        <f t="shared" si="109"/>
        <v>0</v>
      </c>
      <c r="E1748" s="726">
        <f t="shared" si="113"/>
        <v>0</v>
      </c>
      <c r="F1748" s="673">
        <f t="shared" si="108"/>
        <v>0</v>
      </c>
      <c r="G1748" s="1263">
        <f t="shared" si="110"/>
        <v>0</v>
      </c>
      <c r="H1748" s="1266">
        <f t="shared" si="111"/>
        <v>0</v>
      </c>
      <c r="I1748" s="724">
        <f t="shared" si="112"/>
        <v>0</v>
      </c>
      <c r="J1748" s="724"/>
      <c r="K1748" s="869"/>
      <c r="L1748" s="729"/>
      <c r="M1748" s="869"/>
      <c r="N1748" s="729"/>
      <c r="O1748" s="729"/>
    </row>
    <row r="1749" spans="3:15">
      <c r="C1749" s="720">
        <f>IF(D1699="","-",+C1748+1)</f>
        <v>2059</v>
      </c>
      <c r="D1749" s="673">
        <f t="shared" si="109"/>
        <v>0</v>
      </c>
      <c r="E1749" s="726">
        <f t="shared" si="113"/>
        <v>0</v>
      </c>
      <c r="F1749" s="673">
        <f t="shared" si="108"/>
        <v>0</v>
      </c>
      <c r="G1749" s="1263">
        <f t="shared" si="110"/>
        <v>0</v>
      </c>
      <c r="H1749" s="1266">
        <f t="shared" si="111"/>
        <v>0</v>
      </c>
      <c r="I1749" s="724">
        <f t="shared" si="112"/>
        <v>0</v>
      </c>
      <c r="J1749" s="724"/>
      <c r="K1749" s="869"/>
      <c r="L1749" s="729"/>
      <c r="M1749" s="869"/>
      <c r="N1749" s="729"/>
      <c r="O1749" s="729"/>
    </row>
    <row r="1750" spans="3:15">
      <c r="C1750" s="720">
        <f>IF(D1699="","-",+C1749+1)</f>
        <v>2060</v>
      </c>
      <c r="D1750" s="673">
        <f t="shared" si="109"/>
        <v>0</v>
      </c>
      <c r="E1750" s="726">
        <f t="shared" si="113"/>
        <v>0</v>
      </c>
      <c r="F1750" s="673">
        <f t="shared" si="108"/>
        <v>0</v>
      </c>
      <c r="G1750" s="1263">
        <f t="shared" si="110"/>
        <v>0</v>
      </c>
      <c r="H1750" s="1266">
        <f t="shared" si="111"/>
        <v>0</v>
      </c>
      <c r="I1750" s="724">
        <f t="shared" si="112"/>
        <v>0</v>
      </c>
      <c r="J1750" s="724"/>
      <c r="K1750" s="869"/>
      <c r="L1750" s="729"/>
      <c r="M1750" s="869"/>
      <c r="N1750" s="729"/>
      <c r="O1750" s="729"/>
    </row>
    <row r="1751" spans="3:15">
      <c r="C1751" s="720">
        <f>IF(D1699="","-",+C1750+1)</f>
        <v>2061</v>
      </c>
      <c r="D1751" s="673">
        <f t="shared" si="109"/>
        <v>0</v>
      </c>
      <c r="E1751" s="726">
        <f t="shared" si="113"/>
        <v>0</v>
      </c>
      <c r="F1751" s="673">
        <f t="shared" si="108"/>
        <v>0</v>
      </c>
      <c r="G1751" s="1263">
        <f t="shared" si="110"/>
        <v>0</v>
      </c>
      <c r="H1751" s="1266">
        <f t="shared" si="111"/>
        <v>0</v>
      </c>
      <c r="I1751" s="724">
        <f t="shared" si="112"/>
        <v>0</v>
      </c>
      <c r="J1751" s="724"/>
      <c r="K1751" s="869"/>
      <c r="L1751" s="729"/>
      <c r="M1751" s="869"/>
      <c r="N1751" s="729"/>
      <c r="O1751" s="729"/>
    </row>
    <row r="1752" spans="3:15">
      <c r="C1752" s="720">
        <f>IF(D1699="","-",+C1751+1)</f>
        <v>2062</v>
      </c>
      <c r="D1752" s="673">
        <f t="shared" si="109"/>
        <v>0</v>
      </c>
      <c r="E1752" s="726">
        <f t="shared" si="113"/>
        <v>0</v>
      </c>
      <c r="F1752" s="673">
        <f t="shared" si="108"/>
        <v>0</v>
      </c>
      <c r="G1752" s="1263">
        <f t="shared" si="110"/>
        <v>0</v>
      </c>
      <c r="H1752" s="1266">
        <f t="shared" si="111"/>
        <v>0</v>
      </c>
      <c r="I1752" s="724">
        <f t="shared" si="112"/>
        <v>0</v>
      </c>
      <c r="J1752" s="724"/>
      <c r="K1752" s="869"/>
      <c r="L1752" s="729"/>
      <c r="M1752" s="869"/>
      <c r="N1752" s="729"/>
      <c r="O1752" s="729"/>
    </row>
    <row r="1753" spans="3:15">
      <c r="C1753" s="720">
        <f>IF(D1699="","-",+C1752+1)</f>
        <v>2063</v>
      </c>
      <c r="D1753" s="673">
        <f t="shared" si="109"/>
        <v>0</v>
      </c>
      <c r="E1753" s="726">
        <f t="shared" si="113"/>
        <v>0</v>
      </c>
      <c r="F1753" s="673">
        <f t="shared" si="108"/>
        <v>0</v>
      </c>
      <c r="G1753" s="1263">
        <f t="shared" si="110"/>
        <v>0</v>
      </c>
      <c r="H1753" s="1266">
        <f t="shared" si="111"/>
        <v>0</v>
      </c>
      <c r="I1753" s="724">
        <f t="shared" si="112"/>
        <v>0</v>
      </c>
      <c r="J1753" s="724"/>
      <c r="K1753" s="869"/>
      <c r="L1753" s="729"/>
      <c r="M1753" s="869"/>
      <c r="N1753" s="729"/>
      <c r="O1753" s="729"/>
    </row>
    <row r="1754" spans="3:15">
      <c r="C1754" s="720">
        <f>IF(D1699="","-",+C1753+1)</f>
        <v>2064</v>
      </c>
      <c r="D1754" s="673">
        <f t="shared" si="109"/>
        <v>0</v>
      </c>
      <c r="E1754" s="726">
        <f t="shared" si="113"/>
        <v>0</v>
      </c>
      <c r="F1754" s="673">
        <f t="shared" si="108"/>
        <v>0</v>
      </c>
      <c r="G1754" s="1263">
        <f t="shared" si="110"/>
        <v>0</v>
      </c>
      <c r="H1754" s="1266">
        <f t="shared" si="111"/>
        <v>0</v>
      </c>
      <c r="I1754" s="724">
        <f t="shared" si="112"/>
        <v>0</v>
      </c>
      <c r="J1754" s="724"/>
      <c r="K1754" s="869"/>
      <c r="L1754" s="729"/>
      <c r="M1754" s="869"/>
      <c r="N1754" s="729"/>
      <c r="O1754" s="729"/>
    </row>
    <row r="1755" spans="3:15">
      <c r="C1755" s="720">
        <f>IF(D1699="","-",+C1754+1)</f>
        <v>2065</v>
      </c>
      <c r="D1755" s="673">
        <f t="shared" si="109"/>
        <v>0</v>
      </c>
      <c r="E1755" s="726">
        <f t="shared" si="113"/>
        <v>0</v>
      </c>
      <c r="F1755" s="673">
        <f t="shared" si="108"/>
        <v>0</v>
      </c>
      <c r="G1755" s="1263">
        <f t="shared" si="110"/>
        <v>0</v>
      </c>
      <c r="H1755" s="1266">
        <f t="shared" si="111"/>
        <v>0</v>
      </c>
      <c r="I1755" s="724">
        <f t="shared" si="112"/>
        <v>0</v>
      </c>
      <c r="J1755" s="724"/>
      <c r="K1755" s="869"/>
      <c r="L1755" s="729"/>
      <c r="M1755" s="869"/>
      <c r="N1755" s="729"/>
      <c r="O1755" s="729"/>
    </row>
    <row r="1756" spans="3:15">
      <c r="C1756" s="720">
        <f>IF(D1699="","-",+C1755+1)</f>
        <v>2066</v>
      </c>
      <c r="D1756" s="673">
        <f t="shared" si="109"/>
        <v>0</v>
      </c>
      <c r="E1756" s="726">
        <f t="shared" si="113"/>
        <v>0</v>
      </c>
      <c r="F1756" s="673">
        <f t="shared" si="108"/>
        <v>0</v>
      </c>
      <c r="G1756" s="1263">
        <f t="shared" si="110"/>
        <v>0</v>
      </c>
      <c r="H1756" s="1266">
        <f t="shared" si="111"/>
        <v>0</v>
      </c>
      <c r="I1756" s="724">
        <f t="shared" si="112"/>
        <v>0</v>
      </c>
      <c r="J1756" s="724"/>
      <c r="K1756" s="869"/>
      <c r="L1756" s="729"/>
      <c r="M1756" s="869"/>
      <c r="N1756" s="729"/>
      <c r="O1756" s="729"/>
    </row>
    <row r="1757" spans="3:15">
      <c r="C1757" s="720">
        <f>IF(D1699="","-",+C1756+1)</f>
        <v>2067</v>
      </c>
      <c r="D1757" s="673">
        <f t="shared" si="109"/>
        <v>0</v>
      </c>
      <c r="E1757" s="726">
        <f t="shared" si="113"/>
        <v>0</v>
      </c>
      <c r="F1757" s="673">
        <f t="shared" si="108"/>
        <v>0</v>
      </c>
      <c r="G1757" s="1263">
        <f t="shared" si="110"/>
        <v>0</v>
      </c>
      <c r="H1757" s="1266">
        <f t="shared" si="111"/>
        <v>0</v>
      </c>
      <c r="I1757" s="724">
        <f t="shared" si="112"/>
        <v>0</v>
      </c>
      <c r="J1757" s="724"/>
      <c r="K1757" s="869"/>
      <c r="L1757" s="729"/>
      <c r="M1757" s="869"/>
      <c r="N1757" s="729"/>
      <c r="O1757" s="729"/>
    </row>
    <row r="1758" spans="3:15">
      <c r="C1758" s="720">
        <f>IF(D1699="","-",+C1757+1)</f>
        <v>2068</v>
      </c>
      <c r="D1758" s="673">
        <f t="shared" si="109"/>
        <v>0</v>
      </c>
      <c r="E1758" s="726">
        <f t="shared" si="113"/>
        <v>0</v>
      </c>
      <c r="F1758" s="673">
        <f t="shared" si="108"/>
        <v>0</v>
      </c>
      <c r="G1758" s="1263">
        <f t="shared" si="110"/>
        <v>0</v>
      </c>
      <c r="H1758" s="1266">
        <f t="shared" si="111"/>
        <v>0</v>
      </c>
      <c r="I1758" s="724">
        <f t="shared" si="112"/>
        <v>0</v>
      </c>
      <c r="J1758" s="724"/>
      <c r="K1758" s="869"/>
      <c r="L1758" s="729"/>
      <c r="M1758" s="869"/>
      <c r="N1758" s="729"/>
      <c r="O1758" s="729"/>
    </row>
    <row r="1759" spans="3:15">
      <c r="C1759" s="720">
        <f>IF(D1699="","-",+C1758+1)</f>
        <v>2069</v>
      </c>
      <c r="D1759" s="673">
        <f t="shared" si="109"/>
        <v>0</v>
      </c>
      <c r="E1759" s="726">
        <f t="shared" si="113"/>
        <v>0</v>
      </c>
      <c r="F1759" s="673">
        <f t="shared" si="108"/>
        <v>0</v>
      </c>
      <c r="G1759" s="1263">
        <f t="shared" si="110"/>
        <v>0</v>
      </c>
      <c r="H1759" s="1266">
        <f t="shared" si="111"/>
        <v>0</v>
      </c>
      <c r="I1759" s="724">
        <f t="shared" si="112"/>
        <v>0</v>
      </c>
      <c r="J1759" s="724"/>
      <c r="K1759" s="869"/>
      <c r="L1759" s="729"/>
      <c r="M1759" s="869"/>
      <c r="N1759" s="729"/>
      <c r="O1759" s="729"/>
    </row>
    <row r="1760" spans="3:15">
      <c r="C1760" s="720">
        <f>IF(D1699="","-",+C1759+1)</f>
        <v>2070</v>
      </c>
      <c r="D1760" s="673">
        <f t="shared" si="109"/>
        <v>0</v>
      </c>
      <c r="E1760" s="726">
        <f t="shared" si="113"/>
        <v>0</v>
      </c>
      <c r="F1760" s="673">
        <f t="shared" si="108"/>
        <v>0</v>
      </c>
      <c r="G1760" s="1263">
        <f t="shared" si="110"/>
        <v>0</v>
      </c>
      <c r="H1760" s="1266">
        <f t="shared" si="111"/>
        <v>0</v>
      </c>
      <c r="I1760" s="724">
        <f t="shared" si="112"/>
        <v>0</v>
      </c>
      <c r="J1760" s="724"/>
      <c r="K1760" s="869"/>
      <c r="L1760" s="729"/>
      <c r="M1760" s="869"/>
      <c r="N1760" s="729"/>
      <c r="O1760" s="729"/>
    </row>
    <row r="1761" spans="1:16">
      <c r="C1761" s="720">
        <f>IF(D1699="","-",+C1760+1)</f>
        <v>2071</v>
      </c>
      <c r="D1761" s="673">
        <f t="shared" si="109"/>
        <v>0</v>
      </c>
      <c r="E1761" s="726">
        <f t="shared" si="113"/>
        <v>0</v>
      </c>
      <c r="F1761" s="673">
        <f t="shared" si="108"/>
        <v>0</v>
      </c>
      <c r="G1761" s="1263">
        <f t="shared" si="110"/>
        <v>0</v>
      </c>
      <c r="H1761" s="1266">
        <f t="shared" si="111"/>
        <v>0</v>
      </c>
      <c r="I1761" s="724">
        <f t="shared" si="112"/>
        <v>0</v>
      </c>
      <c r="J1761" s="724"/>
      <c r="K1761" s="869"/>
      <c r="L1761" s="729"/>
      <c r="M1761" s="869"/>
      <c r="N1761" s="729"/>
      <c r="O1761" s="729"/>
    </row>
    <row r="1762" spans="1:16">
      <c r="C1762" s="720">
        <f>IF(D1699="","-",+C1761+1)</f>
        <v>2072</v>
      </c>
      <c r="D1762" s="673">
        <f t="shared" si="109"/>
        <v>0</v>
      </c>
      <c r="E1762" s="726">
        <f t="shared" si="113"/>
        <v>0</v>
      </c>
      <c r="F1762" s="673">
        <f t="shared" si="108"/>
        <v>0</v>
      </c>
      <c r="G1762" s="1263">
        <f t="shared" si="110"/>
        <v>0</v>
      </c>
      <c r="H1762" s="1266">
        <f t="shared" si="111"/>
        <v>0</v>
      </c>
      <c r="I1762" s="724">
        <f t="shared" si="112"/>
        <v>0</v>
      </c>
      <c r="J1762" s="724"/>
      <c r="K1762" s="869"/>
      <c r="L1762" s="729"/>
      <c r="M1762" s="869"/>
      <c r="N1762" s="729"/>
      <c r="O1762" s="729"/>
    </row>
    <row r="1763" spans="1:16">
      <c r="C1763" s="720">
        <f>IF(D1699="","-",+C1762+1)</f>
        <v>2073</v>
      </c>
      <c r="D1763" s="673">
        <f t="shared" si="109"/>
        <v>0</v>
      </c>
      <c r="E1763" s="726">
        <f t="shared" si="113"/>
        <v>0</v>
      </c>
      <c r="F1763" s="673">
        <f t="shared" si="108"/>
        <v>0</v>
      </c>
      <c r="G1763" s="1263">
        <f t="shared" si="110"/>
        <v>0</v>
      </c>
      <c r="H1763" s="1266">
        <f t="shared" si="111"/>
        <v>0</v>
      </c>
      <c r="I1763" s="724">
        <f t="shared" si="112"/>
        <v>0</v>
      </c>
      <c r="J1763" s="724"/>
      <c r="K1763" s="869"/>
      <c r="L1763" s="729"/>
      <c r="M1763" s="869"/>
      <c r="N1763" s="729"/>
      <c r="O1763" s="729"/>
    </row>
    <row r="1764" spans="1:16" ht="13.5" thickBot="1">
      <c r="C1764" s="730">
        <f>IF(D1699="","-",+C1763+1)</f>
        <v>2074</v>
      </c>
      <c r="D1764" s="731">
        <f t="shared" si="109"/>
        <v>0</v>
      </c>
      <c r="E1764" s="732">
        <f t="shared" si="113"/>
        <v>0</v>
      </c>
      <c r="F1764" s="731">
        <f t="shared" si="108"/>
        <v>0</v>
      </c>
      <c r="G1764" s="1274">
        <f t="shared" si="110"/>
        <v>0</v>
      </c>
      <c r="H1764" s="1274">
        <f t="shared" si="111"/>
        <v>0</v>
      </c>
      <c r="I1764" s="734">
        <f t="shared" si="112"/>
        <v>0</v>
      </c>
      <c r="J1764" s="724"/>
      <c r="K1764" s="870"/>
      <c r="L1764" s="736"/>
      <c r="M1764" s="870"/>
      <c r="N1764" s="736"/>
      <c r="O1764" s="736"/>
    </row>
    <row r="1765" spans="1:16">
      <c r="C1765" s="673" t="s">
        <v>288</v>
      </c>
      <c r="D1765" s="1242"/>
      <c r="E1765" s="673"/>
      <c r="F1765" s="1242"/>
      <c r="G1765" s="1242">
        <f>SUM(G1705:G1764)</f>
        <v>0</v>
      </c>
      <c r="H1765" s="1242">
        <f>SUM(H1705:H1764)</f>
        <v>0</v>
      </c>
      <c r="I1765" s="1242">
        <f>SUM(I1705:I1764)</f>
        <v>0</v>
      </c>
      <c r="J1765" s="1242"/>
      <c r="K1765" s="1242"/>
      <c r="L1765" s="1242"/>
      <c r="M1765" s="1242"/>
      <c r="N1765" s="1242"/>
      <c r="O1765" s="542"/>
    </row>
    <row r="1766" spans="1:16">
      <c r="D1766" s="563"/>
      <c r="E1766" s="542"/>
      <c r="F1766" s="542"/>
      <c r="G1766" s="542"/>
      <c r="H1766" s="1241"/>
      <c r="I1766" s="1241"/>
      <c r="J1766" s="1242"/>
      <c r="K1766" s="1241"/>
      <c r="L1766" s="1241"/>
      <c r="M1766" s="1241"/>
      <c r="N1766" s="1241"/>
      <c r="O1766" s="542"/>
    </row>
    <row r="1767" spans="1:16">
      <c r="C1767" s="542" t="s">
        <v>595</v>
      </c>
      <c r="D1767" s="563"/>
      <c r="E1767" s="542"/>
      <c r="F1767" s="542"/>
      <c r="G1767" s="542"/>
      <c r="H1767" s="1241"/>
      <c r="I1767" s="1241"/>
      <c r="J1767" s="1242"/>
      <c r="K1767" s="1241"/>
      <c r="L1767" s="1241"/>
      <c r="M1767" s="1241"/>
      <c r="N1767" s="1241"/>
      <c r="O1767" s="542"/>
    </row>
    <row r="1768" spans="1:16">
      <c r="C1768" s="542"/>
      <c r="D1768" s="563"/>
      <c r="E1768" s="542"/>
      <c r="F1768" s="542"/>
      <c r="G1768" s="542"/>
      <c r="H1768" s="1241"/>
      <c r="I1768" s="1241"/>
      <c r="J1768" s="1242"/>
      <c r="K1768" s="1241"/>
      <c r="L1768" s="1241"/>
      <c r="M1768" s="1241"/>
      <c r="N1768" s="1241"/>
      <c r="O1768" s="542"/>
    </row>
    <row r="1769" spans="1:16">
      <c r="C1769" s="684" t="s">
        <v>934</v>
      </c>
      <c r="D1769" s="673"/>
      <c r="E1769" s="673"/>
      <c r="F1769" s="673"/>
      <c r="G1769" s="1242"/>
      <c r="H1769" s="1242"/>
      <c r="I1769" s="674"/>
      <c r="J1769" s="674"/>
      <c r="K1769" s="674"/>
      <c r="L1769" s="674"/>
      <c r="M1769" s="674"/>
      <c r="N1769" s="674"/>
      <c r="O1769" s="542"/>
    </row>
    <row r="1770" spans="1:16">
      <c r="C1770" s="684" t="s">
        <v>476</v>
      </c>
      <c r="D1770" s="673"/>
      <c r="E1770" s="673"/>
      <c r="F1770" s="673"/>
      <c r="G1770" s="1242"/>
      <c r="H1770" s="1242"/>
      <c r="I1770" s="674"/>
      <c r="J1770" s="674"/>
      <c r="K1770" s="674"/>
      <c r="L1770" s="674"/>
      <c r="M1770" s="674"/>
      <c r="N1770" s="674"/>
      <c r="O1770" s="542"/>
    </row>
    <row r="1771" spans="1:16">
      <c r="C1771" s="672" t="s">
        <v>289</v>
      </c>
      <c r="D1771" s="673"/>
      <c r="E1771" s="673"/>
      <c r="F1771" s="673"/>
      <c r="G1771" s="1242"/>
      <c r="H1771" s="1242"/>
      <c r="I1771" s="674"/>
      <c r="J1771" s="674"/>
      <c r="K1771" s="674"/>
      <c r="L1771" s="674"/>
      <c r="M1771" s="674"/>
      <c r="N1771" s="674"/>
      <c r="O1771" s="542"/>
    </row>
    <row r="1772" spans="1:16">
      <c r="C1772" s="672"/>
      <c r="D1772" s="673"/>
      <c r="E1772" s="673"/>
      <c r="F1772" s="673"/>
      <c r="G1772" s="1242"/>
      <c r="H1772" s="1242"/>
      <c r="I1772" s="674"/>
      <c r="J1772" s="674"/>
      <c r="K1772" s="674"/>
      <c r="L1772" s="674"/>
      <c r="M1772" s="674"/>
      <c r="N1772" s="674"/>
      <c r="O1772" s="542"/>
    </row>
    <row r="1773" spans="1:16">
      <c r="C1773" s="1701" t="s">
        <v>460</v>
      </c>
      <c r="D1773" s="1701"/>
      <c r="E1773" s="1701"/>
      <c r="F1773" s="1701"/>
      <c r="G1773" s="1701"/>
      <c r="H1773" s="1701"/>
      <c r="I1773" s="1701"/>
      <c r="J1773" s="1701"/>
      <c r="K1773" s="1701"/>
      <c r="L1773" s="1701"/>
      <c r="M1773" s="1701"/>
      <c r="N1773" s="1701"/>
      <c r="O1773" s="1701"/>
    </row>
    <row r="1774" spans="1:16">
      <c r="C1774" s="1701"/>
      <c r="D1774" s="1701"/>
      <c r="E1774" s="1701"/>
      <c r="F1774" s="1701"/>
      <c r="G1774" s="1701"/>
      <c r="H1774" s="1701"/>
      <c r="I1774" s="1701"/>
      <c r="J1774" s="1701"/>
      <c r="K1774" s="1701"/>
      <c r="L1774" s="1701"/>
      <c r="M1774" s="1701"/>
      <c r="N1774" s="1701"/>
      <c r="O1774" s="1701"/>
    </row>
    <row r="1776" spans="1:16" ht="20.25">
      <c r="A1776" s="675" t="s">
        <v>931</v>
      </c>
      <c r="B1776" s="576"/>
      <c r="C1776" s="655"/>
      <c r="D1776" s="563"/>
      <c r="E1776" s="542"/>
      <c r="F1776" s="645"/>
      <c r="G1776" s="542"/>
      <c r="H1776" s="1241"/>
      <c r="K1776" s="676"/>
      <c r="L1776" s="676"/>
      <c r="M1776" s="676"/>
      <c r="N1776" s="591" t="str">
        <f>"Page "&amp;SUM(P$6:P1776)&amp;" of "</f>
        <v xml:space="preserve">Page 20 of </v>
      </c>
      <c r="O1776" s="592">
        <f>COUNT(P$6:P$59579)</f>
        <v>22</v>
      </c>
      <c r="P1776" s="542">
        <v>1</v>
      </c>
    </row>
    <row r="1777" spans="2:15">
      <c r="B1777" s="576"/>
      <c r="C1777" s="542"/>
      <c r="D1777" s="563"/>
      <c r="E1777" s="542"/>
      <c r="F1777" s="542"/>
      <c r="G1777" s="542"/>
      <c r="H1777" s="1241"/>
      <c r="I1777" s="542"/>
      <c r="J1777" s="588"/>
      <c r="K1777" s="542"/>
      <c r="L1777" s="542"/>
      <c r="M1777" s="542"/>
      <c r="N1777" s="542"/>
      <c r="O1777" s="542"/>
    </row>
    <row r="1778" spans="2:15" ht="18">
      <c r="B1778" s="595" t="s">
        <v>174</v>
      </c>
      <c r="C1778" s="677" t="s">
        <v>290</v>
      </c>
      <c r="D1778" s="563"/>
      <c r="E1778" s="542"/>
      <c r="F1778" s="542"/>
      <c r="G1778" s="542"/>
      <c r="H1778" s="1241"/>
      <c r="I1778" s="1241"/>
      <c r="J1778" s="1242"/>
      <c r="K1778" s="1241"/>
      <c r="L1778" s="1241"/>
      <c r="M1778" s="1241"/>
      <c r="N1778" s="1241"/>
      <c r="O1778" s="542"/>
    </row>
    <row r="1779" spans="2:15" ht="18.75">
      <c r="B1779" s="595"/>
      <c r="C1779" s="594"/>
      <c r="D1779" s="563"/>
      <c r="E1779" s="542"/>
      <c r="F1779" s="542"/>
      <c r="G1779" s="542"/>
      <c r="H1779" s="1241"/>
      <c r="I1779" s="1241"/>
      <c r="J1779" s="1242"/>
      <c r="K1779" s="1241"/>
      <c r="L1779" s="1241"/>
      <c r="M1779" s="1241"/>
      <c r="N1779" s="1241"/>
      <c r="O1779" s="542"/>
    </row>
    <row r="1780" spans="2:15" ht="18.75">
      <c r="B1780" s="595"/>
      <c r="C1780" s="594" t="s">
        <v>291</v>
      </c>
      <c r="D1780" s="563"/>
      <c r="E1780" s="542"/>
      <c r="F1780" s="542"/>
      <c r="G1780" s="542"/>
      <c r="H1780" s="1241"/>
      <c r="I1780" s="1241"/>
      <c r="J1780" s="1242"/>
      <c r="K1780" s="1241"/>
      <c r="L1780" s="1241"/>
      <c r="M1780" s="1241"/>
      <c r="N1780" s="1241"/>
      <c r="O1780" s="542"/>
    </row>
    <row r="1781" spans="2:15" ht="15.75" thickBot="1">
      <c r="C1781" s="396"/>
      <c r="D1781" s="563"/>
      <c r="E1781" s="542"/>
      <c r="F1781" s="542"/>
      <c r="G1781" s="542"/>
      <c r="H1781" s="1241"/>
      <c r="I1781" s="1241"/>
      <c r="J1781" s="1242"/>
      <c r="K1781" s="1241"/>
      <c r="L1781" s="1241"/>
      <c r="M1781" s="1241"/>
      <c r="N1781" s="1241"/>
      <c r="O1781" s="542"/>
    </row>
    <row r="1782" spans="2:15" ht="15.75">
      <c r="C1782" s="596" t="s">
        <v>292</v>
      </c>
      <c r="D1782" s="563"/>
      <c r="E1782" s="542"/>
      <c r="F1782" s="542"/>
      <c r="G1782" s="1276"/>
      <c r="H1782" s="542" t="s">
        <v>271</v>
      </c>
      <c r="I1782" s="542"/>
      <c r="J1782" s="588"/>
      <c r="K1782" s="678" t="s">
        <v>296</v>
      </c>
      <c r="L1782" s="679"/>
      <c r="M1782" s="680"/>
      <c r="N1782" s="1244">
        <f>VLOOKUP(I1788,C1795:O1854,5)</f>
        <v>8951.3171476089792</v>
      </c>
      <c r="O1782" s="542"/>
    </row>
    <row r="1783" spans="2:15" ht="15.75">
      <c r="C1783" s="596"/>
      <c r="D1783" s="563"/>
      <c r="E1783" s="542"/>
      <c r="F1783" s="542"/>
      <c r="G1783" s="542"/>
      <c r="H1783" s="1245"/>
      <c r="I1783" s="1245"/>
      <c r="J1783" s="1246"/>
      <c r="K1783" s="683" t="s">
        <v>297</v>
      </c>
      <c r="L1783" s="1247"/>
      <c r="M1783" s="588"/>
      <c r="N1783" s="1248">
        <f>VLOOKUP(I1788,C1795:O1854,6)</f>
        <v>8951.3171476089792</v>
      </c>
      <c r="O1783" s="542"/>
    </row>
    <row r="1784" spans="2:15" ht="15.75" thickBot="1">
      <c r="C1784" s="684" t="s">
        <v>293</v>
      </c>
      <c r="D1784" s="1703" t="s">
        <v>953</v>
      </c>
      <c r="E1784" s="1703"/>
      <c r="F1784" s="1703"/>
      <c r="G1784" s="1703"/>
      <c r="H1784" s="1245"/>
      <c r="I1784" s="1245"/>
      <c r="J1784" s="1242"/>
      <c r="K1784" s="1249" t="s">
        <v>450</v>
      </c>
      <c r="L1784" s="1250"/>
      <c r="M1784" s="1250"/>
      <c r="N1784" s="1251">
        <f>+N1783-N1782</f>
        <v>0</v>
      </c>
      <c r="O1784" s="542"/>
    </row>
    <row r="1785" spans="2:15">
      <c r="C1785" s="686"/>
      <c r="D1785" s="687"/>
      <c r="E1785" s="671"/>
      <c r="F1785" s="671"/>
      <c r="G1785" s="688"/>
      <c r="H1785" s="1241"/>
      <c r="I1785" s="1241"/>
      <c r="J1785" s="1242"/>
      <c r="K1785" s="1241"/>
      <c r="L1785" s="1241"/>
      <c r="M1785" s="1241"/>
      <c r="N1785" s="1241"/>
      <c r="O1785" s="542"/>
    </row>
    <row r="1786" spans="2:15" ht="13.5" thickBot="1">
      <c r="C1786" s="689"/>
      <c r="D1786" s="1252"/>
      <c r="E1786" s="688"/>
      <c r="F1786" s="688"/>
      <c r="G1786" s="688"/>
      <c r="H1786" s="688"/>
      <c r="I1786" s="688"/>
      <c r="J1786" s="691"/>
      <c r="K1786" s="688"/>
      <c r="L1786" s="688"/>
      <c r="M1786" s="688"/>
      <c r="N1786" s="688"/>
      <c r="O1786" s="576"/>
    </row>
    <row r="1787" spans="2:15" ht="13.5" thickBot="1">
      <c r="C1787" s="692" t="s">
        <v>294</v>
      </c>
      <c r="D1787" s="693"/>
      <c r="E1787" s="693"/>
      <c r="F1787" s="693"/>
      <c r="G1787" s="693"/>
      <c r="H1787" s="693"/>
      <c r="I1787" s="694"/>
      <c r="J1787" s="695"/>
      <c r="K1787" s="542"/>
      <c r="L1787" s="542"/>
      <c r="M1787" s="542"/>
      <c r="N1787" s="542"/>
      <c r="O1787" s="696"/>
    </row>
    <row r="1788" spans="2:15" ht="15">
      <c r="C1788" s="697" t="s">
        <v>272</v>
      </c>
      <c r="D1788" s="1253">
        <f>9293+45320</f>
        <v>54613</v>
      </c>
      <c r="E1788" s="655" t="s">
        <v>273</v>
      </c>
      <c r="G1788" s="698"/>
      <c r="H1788" s="698"/>
      <c r="I1788" s="699">
        <v>2018</v>
      </c>
      <c r="J1788" s="586"/>
      <c r="K1788" s="1702" t="s">
        <v>459</v>
      </c>
      <c r="L1788" s="1702"/>
      <c r="M1788" s="1702"/>
      <c r="N1788" s="1702"/>
      <c r="O1788" s="1702"/>
    </row>
    <row r="1789" spans="2:15">
      <c r="C1789" s="697" t="s">
        <v>275</v>
      </c>
      <c r="D1789" s="865">
        <v>2018</v>
      </c>
      <c r="E1789" s="697" t="s">
        <v>276</v>
      </c>
      <c r="F1789" s="698"/>
      <c r="H1789" s="330"/>
      <c r="I1789" s="1254">
        <f>IF(G1782="",0,$F$15)</f>
        <v>0</v>
      </c>
      <c r="J1789" s="700"/>
      <c r="K1789" s="1242" t="s">
        <v>459</v>
      </c>
    </row>
    <row r="1790" spans="2:15">
      <c r="C1790" s="697" t="s">
        <v>277</v>
      </c>
      <c r="D1790" s="1253">
        <v>6</v>
      </c>
      <c r="E1790" s="697" t="s">
        <v>278</v>
      </c>
      <c r="F1790" s="698"/>
      <c r="H1790" s="330"/>
      <c r="I1790" s="701">
        <f>$G$70</f>
        <v>0.15341253840442806</v>
      </c>
      <c r="J1790" s="702"/>
      <c r="K1790" s="330" t="str">
        <f>"          INPUT PROJECTED ARR (WITH &amp; WITHOUT INCENTIVES) FROM EACH PRIOR YEAR"</f>
        <v xml:space="preserve">          INPUT PROJECTED ARR (WITH &amp; WITHOUT INCENTIVES) FROM EACH PRIOR YEAR</v>
      </c>
    </row>
    <row r="1791" spans="2:15">
      <c r="C1791" s="697" t="s">
        <v>279</v>
      </c>
      <c r="D1791" s="1287">
        <f>G$79</f>
        <v>44</v>
      </c>
      <c r="E1791" s="697" t="s">
        <v>280</v>
      </c>
      <c r="F1791" s="698"/>
      <c r="H1791" s="330"/>
      <c r="I1791" s="701">
        <f>IF(G1782="",I1790,$G$67)</f>
        <v>0.15341253840442806</v>
      </c>
      <c r="J1791" s="704"/>
      <c r="K1791" s="330" t="s">
        <v>357</v>
      </c>
    </row>
    <row r="1792" spans="2:15" ht="13.5" thickBot="1">
      <c r="C1792" s="697" t="s">
        <v>281</v>
      </c>
      <c r="D1792" s="1253" t="s">
        <v>933</v>
      </c>
      <c r="E1792" s="705" t="s">
        <v>282</v>
      </c>
      <c r="F1792" s="706"/>
      <c r="G1792" s="707"/>
      <c r="H1792" s="707"/>
      <c r="I1792" s="1251">
        <f>IF(D1788=0,0,D1788/D1791)</f>
        <v>1241.2045454545455</v>
      </c>
      <c r="J1792" s="1242"/>
      <c r="K1792" s="1242" t="s">
        <v>363</v>
      </c>
      <c r="L1792" s="1242"/>
      <c r="M1792" s="1242"/>
      <c r="N1792" s="1242"/>
      <c r="O1792" s="588"/>
    </row>
    <row r="1793" spans="1:15" ht="51">
      <c r="A1793" s="529"/>
      <c r="B1793" s="1255"/>
      <c r="C1793" s="708" t="s">
        <v>272</v>
      </c>
      <c r="D1793" s="1256" t="s">
        <v>283</v>
      </c>
      <c r="E1793" s="1257" t="s">
        <v>284</v>
      </c>
      <c r="F1793" s="1256" t="s">
        <v>285</v>
      </c>
      <c r="G1793" s="1257" t="s">
        <v>356</v>
      </c>
      <c r="H1793" s="1258" t="s">
        <v>356</v>
      </c>
      <c r="I1793" s="708" t="s">
        <v>295</v>
      </c>
      <c r="J1793" s="712"/>
      <c r="K1793" s="1257" t="s">
        <v>365</v>
      </c>
      <c r="L1793" s="1259"/>
      <c r="M1793" s="1257" t="s">
        <v>365</v>
      </c>
      <c r="N1793" s="1259"/>
      <c r="O1793" s="1259"/>
    </row>
    <row r="1794" spans="1:15" ht="13.5" thickBot="1">
      <c r="C1794" s="714" t="s">
        <v>177</v>
      </c>
      <c r="D1794" s="715" t="s">
        <v>178</v>
      </c>
      <c r="E1794" s="714" t="s">
        <v>37</v>
      </c>
      <c r="F1794" s="715" t="s">
        <v>178</v>
      </c>
      <c r="G1794" s="1260" t="s">
        <v>298</v>
      </c>
      <c r="H1794" s="1261" t="s">
        <v>300</v>
      </c>
      <c r="I1794" s="718" t="s">
        <v>389</v>
      </c>
      <c r="J1794" s="719"/>
      <c r="K1794" s="1260" t="s">
        <v>287</v>
      </c>
      <c r="L1794" s="1262"/>
      <c r="M1794" s="1260" t="s">
        <v>300</v>
      </c>
      <c r="N1794" s="1262"/>
      <c r="O1794" s="1262"/>
    </row>
    <row r="1795" spans="1:15">
      <c r="C1795" s="720">
        <f>IF(D1789= "","-",D1789)</f>
        <v>2018</v>
      </c>
      <c r="D1795" s="673">
        <f>+D1788</f>
        <v>54613</v>
      </c>
      <c r="E1795" s="1263">
        <f>+I1792/12*(12-D1790)</f>
        <v>620.60227272727275</v>
      </c>
      <c r="F1795" s="673">
        <f t="shared" ref="F1795:F1854" si="114">+D1795-E1795</f>
        <v>53992.397727272728</v>
      </c>
      <c r="G1795" s="1264">
        <f>+$I$1790*((D1795+F1795)/2)+E1795</f>
        <v>8951.3171476089792</v>
      </c>
      <c r="H1795" s="1265">
        <f>$I$1791*((D1795+F1795)/2)+E1795</f>
        <v>8951.3171476089792</v>
      </c>
      <c r="I1795" s="724">
        <f>+H1795-G1795</f>
        <v>0</v>
      </c>
      <c r="J1795" s="724"/>
      <c r="K1795" s="868">
        <v>836737</v>
      </c>
      <c r="L1795" s="725"/>
      <c r="M1795" s="868">
        <v>836737</v>
      </c>
      <c r="N1795" s="725"/>
      <c r="O1795" s="725"/>
    </row>
    <row r="1796" spans="1:15">
      <c r="C1796" s="720">
        <f>IF(D1789="","-",+C1795+1)</f>
        <v>2019</v>
      </c>
      <c r="D1796" s="673">
        <f>F1795</f>
        <v>53992.397727272728</v>
      </c>
      <c r="E1796" s="726">
        <f>IF(D1796&gt;$I$1792,$I$1792,D1796)</f>
        <v>1241.2045454545455</v>
      </c>
      <c r="F1796" s="673">
        <f t="shared" si="114"/>
        <v>52751.193181818184</v>
      </c>
      <c r="G1796" s="1263">
        <f t="shared" ref="G1796:G1854" si="115">+$I$1790*((D1796+F1796)/2)+E1796</f>
        <v>9429.1071653382787</v>
      </c>
      <c r="H1796" s="1266">
        <f t="shared" ref="H1796:H1854" si="116">$I$1791*((D1796+F1796)/2)+E1796</f>
        <v>9429.1071653382787</v>
      </c>
      <c r="I1796" s="724">
        <f t="shared" ref="I1796:I1854" si="117">+H1796-G1796</f>
        <v>0</v>
      </c>
      <c r="J1796" s="724"/>
      <c r="K1796" s="869"/>
      <c r="L1796" s="729"/>
      <c r="M1796" s="869"/>
      <c r="N1796" s="729"/>
      <c r="O1796" s="729"/>
    </row>
    <row r="1797" spans="1:15">
      <c r="C1797" s="720">
        <f>IF(D1789="","-",+C1796+1)</f>
        <v>2020</v>
      </c>
      <c r="D1797" s="673">
        <f t="shared" ref="D1797:D1854" si="118">F1796</f>
        <v>52751.193181818184</v>
      </c>
      <c r="E1797" s="726">
        <f t="shared" ref="E1797:E1854" si="119">IF(D1797&gt;$I$1792,$I$1792,D1797)</f>
        <v>1241.2045454545455</v>
      </c>
      <c r="F1797" s="673">
        <f t="shared" si="114"/>
        <v>51509.98863636364</v>
      </c>
      <c r="G1797" s="1263">
        <f t="shared" si="115"/>
        <v>9238.6908253409838</v>
      </c>
      <c r="H1797" s="1266">
        <f t="shared" si="116"/>
        <v>9238.6908253409838</v>
      </c>
      <c r="I1797" s="724">
        <f t="shared" si="117"/>
        <v>0</v>
      </c>
      <c r="J1797" s="724"/>
      <c r="K1797" s="869"/>
      <c r="L1797" s="729"/>
      <c r="M1797" s="869"/>
      <c r="N1797" s="729"/>
      <c r="O1797" s="729"/>
    </row>
    <row r="1798" spans="1:15">
      <c r="C1798" s="720">
        <f>IF(D1789="","-",+C1797+1)</f>
        <v>2021</v>
      </c>
      <c r="D1798" s="673">
        <f t="shared" si="118"/>
        <v>51509.98863636364</v>
      </c>
      <c r="E1798" s="726">
        <f t="shared" si="119"/>
        <v>1241.2045454545455</v>
      </c>
      <c r="F1798" s="673">
        <f t="shared" si="114"/>
        <v>50268.784090909096</v>
      </c>
      <c r="G1798" s="1263">
        <f t="shared" si="115"/>
        <v>9048.274485343687</v>
      </c>
      <c r="H1798" s="1266">
        <f t="shared" si="116"/>
        <v>9048.274485343687</v>
      </c>
      <c r="I1798" s="724">
        <f t="shared" si="117"/>
        <v>0</v>
      </c>
      <c r="J1798" s="724"/>
      <c r="K1798" s="869"/>
      <c r="L1798" s="729"/>
      <c r="M1798" s="869"/>
      <c r="N1798" s="729"/>
      <c r="O1798" s="729"/>
    </row>
    <row r="1799" spans="1:15">
      <c r="C1799" s="720">
        <f>IF(D1789="","-",+C1798+1)</f>
        <v>2022</v>
      </c>
      <c r="D1799" s="673">
        <f t="shared" si="118"/>
        <v>50268.784090909096</v>
      </c>
      <c r="E1799" s="726">
        <f t="shared" si="119"/>
        <v>1241.2045454545455</v>
      </c>
      <c r="F1799" s="673">
        <f t="shared" si="114"/>
        <v>49027.579545454551</v>
      </c>
      <c r="G1799" s="1263">
        <f t="shared" si="115"/>
        <v>8857.8581453463921</v>
      </c>
      <c r="H1799" s="1266">
        <f t="shared" si="116"/>
        <v>8857.8581453463921</v>
      </c>
      <c r="I1799" s="724">
        <f t="shared" si="117"/>
        <v>0</v>
      </c>
      <c r="J1799" s="724"/>
      <c r="K1799" s="869"/>
      <c r="L1799" s="729"/>
      <c r="M1799" s="869"/>
      <c r="N1799" s="729"/>
      <c r="O1799" s="729"/>
    </row>
    <row r="1800" spans="1:15">
      <c r="C1800" s="720">
        <f>IF(D1789="","-",+C1799+1)</f>
        <v>2023</v>
      </c>
      <c r="D1800" s="673">
        <f t="shared" si="118"/>
        <v>49027.579545454551</v>
      </c>
      <c r="E1800" s="726">
        <f t="shared" si="119"/>
        <v>1241.2045454545455</v>
      </c>
      <c r="F1800" s="673">
        <f t="shared" si="114"/>
        <v>47786.375000000007</v>
      </c>
      <c r="G1800" s="1263">
        <f t="shared" si="115"/>
        <v>8667.4418053490954</v>
      </c>
      <c r="H1800" s="1266">
        <f t="shared" si="116"/>
        <v>8667.4418053490954</v>
      </c>
      <c r="I1800" s="724">
        <f t="shared" si="117"/>
        <v>0</v>
      </c>
      <c r="J1800" s="724"/>
      <c r="K1800" s="869"/>
      <c r="L1800" s="729"/>
      <c r="M1800" s="869"/>
      <c r="N1800" s="729"/>
      <c r="O1800" s="729"/>
    </row>
    <row r="1801" spans="1:15">
      <c r="C1801" s="720">
        <f>IF(D1789="","-",+C1800+1)</f>
        <v>2024</v>
      </c>
      <c r="D1801" s="673">
        <f t="shared" si="118"/>
        <v>47786.375000000007</v>
      </c>
      <c r="E1801" s="726">
        <f t="shared" si="119"/>
        <v>1241.2045454545455</v>
      </c>
      <c r="F1801" s="673">
        <f t="shared" si="114"/>
        <v>46545.170454545463</v>
      </c>
      <c r="G1801" s="1263">
        <f t="shared" si="115"/>
        <v>8477.0254653518004</v>
      </c>
      <c r="H1801" s="1266">
        <f t="shared" si="116"/>
        <v>8477.0254653518004</v>
      </c>
      <c r="I1801" s="724">
        <f t="shared" si="117"/>
        <v>0</v>
      </c>
      <c r="J1801" s="724"/>
      <c r="K1801" s="869"/>
      <c r="L1801" s="729"/>
      <c r="M1801" s="869"/>
      <c r="N1801" s="729"/>
      <c r="O1801" s="729"/>
    </row>
    <row r="1802" spans="1:15">
      <c r="C1802" s="720">
        <f>IF(D1789="","-",+C1801+1)</f>
        <v>2025</v>
      </c>
      <c r="D1802" s="673">
        <f t="shared" si="118"/>
        <v>46545.170454545463</v>
      </c>
      <c r="E1802" s="726">
        <f t="shared" si="119"/>
        <v>1241.2045454545455</v>
      </c>
      <c r="F1802" s="673">
        <f t="shared" si="114"/>
        <v>45303.965909090919</v>
      </c>
      <c r="G1802" s="1263">
        <f t="shared" si="115"/>
        <v>8286.6091253545037</v>
      </c>
      <c r="H1802" s="1266">
        <f t="shared" si="116"/>
        <v>8286.6091253545037</v>
      </c>
      <c r="I1802" s="724">
        <f t="shared" si="117"/>
        <v>0</v>
      </c>
      <c r="J1802" s="724"/>
      <c r="K1802" s="869"/>
      <c r="L1802" s="729"/>
      <c r="M1802" s="869"/>
      <c r="N1802" s="729"/>
      <c r="O1802" s="729"/>
    </row>
    <row r="1803" spans="1:15">
      <c r="C1803" s="720">
        <f>IF(D1789="","-",+C1802+1)</f>
        <v>2026</v>
      </c>
      <c r="D1803" s="673">
        <f t="shared" si="118"/>
        <v>45303.965909090919</v>
      </c>
      <c r="E1803" s="726">
        <f t="shared" si="119"/>
        <v>1241.2045454545455</v>
      </c>
      <c r="F1803" s="673">
        <f t="shared" si="114"/>
        <v>44062.761363636375</v>
      </c>
      <c r="G1803" s="1263">
        <f t="shared" si="115"/>
        <v>8096.192785357207</v>
      </c>
      <c r="H1803" s="1266">
        <f t="shared" si="116"/>
        <v>8096.192785357207</v>
      </c>
      <c r="I1803" s="724">
        <f t="shared" si="117"/>
        <v>0</v>
      </c>
      <c r="J1803" s="724"/>
      <c r="K1803" s="869"/>
      <c r="L1803" s="729"/>
      <c r="M1803" s="869"/>
      <c r="N1803" s="729"/>
      <c r="O1803" s="729"/>
    </row>
    <row r="1804" spans="1:15">
      <c r="C1804" s="720">
        <f>IF(D1789="","-",+C1803+1)</f>
        <v>2027</v>
      </c>
      <c r="D1804" s="673">
        <f t="shared" si="118"/>
        <v>44062.761363636375</v>
      </c>
      <c r="E1804" s="726">
        <f t="shared" si="119"/>
        <v>1241.2045454545455</v>
      </c>
      <c r="F1804" s="673">
        <f t="shared" si="114"/>
        <v>42821.556818181831</v>
      </c>
      <c r="G1804" s="1263">
        <f t="shared" si="115"/>
        <v>7905.776445359912</v>
      </c>
      <c r="H1804" s="1266">
        <f t="shared" si="116"/>
        <v>7905.776445359912</v>
      </c>
      <c r="I1804" s="724">
        <f t="shared" si="117"/>
        <v>0</v>
      </c>
      <c r="J1804" s="724"/>
      <c r="K1804" s="869"/>
      <c r="L1804" s="729"/>
      <c r="M1804" s="869"/>
      <c r="N1804" s="729"/>
      <c r="O1804" s="729"/>
    </row>
    <row r="1805" spans="1:15">
      <c r="C1805" s="720">
        <f>IF(D1789="","-",+C1804+1)</f>
        <v>2028</v>
      </c>
      <c r="D1805" s="673">
        <f t="shared" si="118"/>
        <v>42821.556818181831</v>
      </c>
      <c r="E1805" s="726">
        <f t="shared" si="119"/>
        <v>1241.2045454545455</v>
      </c>
      <c r="F1805" s="673">
        <f t="shared" si="114"/>
        <v>41580.352272727287</v>
      </c>
      <c r="G1805" s="1263">
        <f t="shared" si="115"/>
        <v>7715.3601053626153</v>
      </c>
      <c r="H1805" s="1266">
        <f t="shared" si="116"/>
        <v>7715.3601053626153</v>
      </c>
      <c r="I1805" s="724">
        <f t="shared" si="117"/>
        <v>0</v>
      </c>
      <c r="J1805" s="724"/>
      <c r="K1805" s="869"/>
      <c r="L1805" s="729"/>
      <c r="M1805" s="869"/>
      <c r="N1805" s="729"/>
      <c r="O1805" s="729"/>
    </row>
    <row r="1806" spans="1:15">
      <c r="C1806" s="720">
        <f>IF(D1789="","-",+C1805+1)</f>
        <v>2029</v>
      </c>
      <c r="D1806" s="673">
        <f t="shared" si="118"/>
        <v>41580.352272727287</v>
      </c>
      <c r="E1806" s="726">
        <f t="shared" si="119"/>
        <v>1241.2045454545455</v>
      </c>
      <c r="F1806" s="673">
        <f t="shared" si="114"/>
        <v>40339.147727272742</v>
      </c>
      <c r="G1806" s="1263">
        <f t="shared" si="115"/>
        <v>7524.9437653653204</v>
      </c>
      <c r="H1806" s="1266">
        <f t="shared" si="116"/>
        <v>7524.9437653653204</v>
      </c>
      <c r="I1806" s="724">
        <f t="shared" si="117"/>
        <v>0</v>
      </c>
      <c r="J1806" s="724"/>
      <c r="K1806" s="869"/>
      <c r="L1806" s="729"/>
      <c r="M1806" s="869"/>
      <c r="N1806" s="729"/>
      <c r="O1806" s="729"/>
    </row>
    <row r="1807" spans="1:15">
      <c r="C1807" s="720">
        <f>IF(D1789="","-",+C1806+1)</f>
        <v>2030</v>
      </c>
      <c r="D1807" s="673">
        <f t="shared" si="118"/>
        <v>40339.147727272742</v>
      </c>
      <c r="E1807" s="726">
        <f t="shared" si="119"/>
        <v>1241.2045454545455</v>
      </c>
      <c r="F1807" s="673">
        <f t="shared" si="114"/>
        <v>39097.943181818198</v>
      </c>
      <c r="G1807" s="1263">
        <f t="shared" si="115"/>
        <v>7334.5274253680236</v>
      </c>
      <c r="H1807" s="1266">
        <f t="shared" si="116"/>
        <v>7334.5274253680236</v>
      </c>
      <c r="I1807" s="724">
        <f t="shared" si="117"/>
        <v>0</v>
      </c>
      <c r="J1807" s="724"/>
      <c r="K1807" s="869"/>
      <c r="L1807" s="729"/>
      <c r="M1807" s="869"/>
      <c r="N1807" s="729"/>
      <c r="O1807" s="729"/>
    </row>
    <row r="1808" spans="1:15">
      <c r="C1808" s="720">
        <f>IF(D1789="","-",+C1807+1)</f>
        <v>2031</v>
      </c>
      <c r="D1808" s="673">
        <f t="shared" si="118"/>
        <v>39097.943181818198</v>
      </c>
      <c r="E1808" s="726">
        <f t="shared" si="119"/>
        <v>1241.2045454545455</v>
      </c>
      <c r="F1808" s="673">
        <f t="shared" si="114"/>
        <v>37856.738636363654</v>
      </c>
      <c r="G1808" s="1263">
        <f t="shared" si="115"/>
        <v>7144.1110853707287</v>
      </c>
      <c r="H1808" s="1266">
        <f t="shared" si="116"/>
        <v>7144.1110853707287</v>
      </c>
      <c r="I1808" s="724">
        <f t="shared" si="117"/>
        <v>0</v>
      </c>
      <c r="J1808" s="724"/>
      <c r="K1808" s="869"/>
      <c r="L1808" s="729"/>
      <c r="M1808" s="869"/>
      <c r="N1808" s="729"/>
      <c r="O1808" s="729"/>
    </row>
    <row r="1809" spans="3:15">
      <c r="C1809" s="720">
        <f>IF(D1789="","-",+C1808+1)</f>
        <v>2032</v>
      </c>
      <c r="D1809" s="673">
        <f t="shared" si="118"/>
        <v>37856.738636363654</v>
      </c>
      <c r="E1809" s="726">
        <f t="shared" si="119"/>
        <v>1241.2045454545455</v>
      </c>
      <c r="F1809" s="673">
        <f t="shared" si="114"/>
        <v>36615.53409090911</v>
      </c>
      <c r="G1809" s="1263">
        <f t="shared" si="115"/>
        <v>6953.6947453734319</v>
      </c>
      <c r="H1809" s="1266">
        <f t="shared" si="116"/>
        <v>6953.6947453734319</v>
      </c>
      <c r="I1809" s="724">
        <f t="shared" si="117"/>
        <v>0</v>
      </c>
      <c r="J1809" s="724"/>
      <c r="K1809" s="869"/>
      <c r="L1809" s="729"/>
      <c r="M1809" s="869"/>
      <c r="N1809" s="729"/>
      <c r="O1809" s="729"/>
    </row>
    <row r="1810" spans="3:15">
      <c r="C1810" s="720">
        <f>IF(D1789="","-",+C1809+1)</f>
        <v>2033</v>
      </c>
      <c r="D1810" s="673">
        <f t="shared" si="118"/>
        <v>36615.53409090911</v>
      </c>
      <c r="E1810" s="726">
        <f t="shared" si="119"/>
        <v>1241.2045454545455</v>
      </c>
      <c r="F1810" s="673">
        <f t="shared" si="114"/>
        <v>35374.329545454566</v>
      </c>
      <c r="G1810" s="1263">
        <f t="shared" si="115"/>
        <v>6763.278405376137</v>
      </c>
      <c r="H1810" s="1266">
        <f t="shared" si="116"/>
        <v>6763.278405376137</v>
      </c>
      <c r="I1810" s="724">
        <f t="shared" si="117"/>
        <v>0</v>
      </c>
      <c r="J1810" s="724"/>
      <c r="K1810" s="869"/>
      <c r="L1810" s="729"/>
      <c r="M1810" s="869"/>
      <c r="N1810" s="729"/>
      <c r="O1810" s="729"/>
    </row>
    <row r="1811" spans="3:15">
      <c r="C1811" s="720">
        <f>IF(D1789="","-",+C1810+1)</f>
        <v>2034</v>
      </c>
      <c r="D1811" s="673">
        <f t="shared" si="118"/>
        <v>35374.329545454566</v>
      </c>
      <c r="E1811" s="726">
        <f t="shared" si="119"/>
        <v>1241.2045454545455</v>
      </c>
      <c r="F1811" s="673">
        <f t="shared" si="114"/>
        <v>34133.125000000022</v>
      </c>
      <c r="G1811" s="1263">
        <f t="shared" si="115"/>
        <v>6572.8620653788403</v>
      </c>
      <c r="H1811" s="1266">
        <f t="shared" si="116"/>
        <v>6572.8620653788403</v>
      </c>
      <c r="I1811" s="724">
        <f t="shared" si="117"/>
        <v>0</v>
      </c>
      <c r="J1811" s="724"/>
      <c r="K1811" s="869"/>
      <c r="L1811" s="729"/>
      <c r="M1811" s="869"/>
      <c r="N1811" s="729"/>
      <c r="O1811" s="729"/>
    </row>
    <row r="1812" spans="3:15">
      <c r="C1812" s="720">
        <f>IF(D1789="","-",+C1811+1)</f>
        <v>2035</v>
      </c>
      <c r="D1812" s="673">
        <f t="shared" si="118"/>
        <v>34133.125000000022</v>
      </c>
      <c r="E1812" s="726">
        <f t="shared" si="119"/>
        <v>1241.2045454545455</v>
      </c>
      <c r="F1812" s="673">
        <f t="shared" si="114"/>
        <v>32891.920454545478</v>
      </c>
      <c r="G1812" s="1263">
        <f t="shared" si="115"/>
        <v>6382.4457253815453</v>
      </c>
      <c r="H1812" s="1266">
        <f t="shared" si="116"/>
        <v>6382.4457253815453</v>
      </c>
      <c r="I1812" s="724">
        <f t="shared" si="117"/>
        <v>0</v>
      </c>
      <c r="J1812" s="724"/>
      <c r="K1812" s="869"/>
      <c r="L1812" s="729"/>
      <c r="M1812" s="869"/>
      <c r="N1812" s="729"/>
      <c r="O1812" s="729"/>
    </row>
    <row r="1813" spans="3:15">
      <c r="C1813" s="720">
        <f>IF(D1789="","-",+C1812+1)</f>
        <v>2036</v>
      </c>
      <c r="D1813" s="673">
        <f t="shared" si="118"/>
        <v>32891.920454545478</v>
      </c>
      <c r="E1813" s="726">
        <f t="shared" si="119"/>
        <v>1241.2045454545455</v>
      </c>
      <c r="F1813" s="673">
        <f t="shared" si="114"/>
        <v>31650.715909090934</v>
      </c>
      <c r="G1813" s="1263">
        <f t="shared" si="115"/>
        <v>6192.0293853842486</v>
      </c>
      <c r="H1813" s="1266">
        <f t="shared" si="116"/>
        <v>6192.0293853842486</v>
      </c>
      <c r="I1813" s="724">
        <f t="shared" si="117"/>
        <v>0</v>
      </c>
      <c r="J1813" s="724"/>
      <c r="K1813" s="869"/>
      <c r="L1813" s="729"/>
      <c r="M1813" s="869"/>
      <c r="N1813" s="729"/>
      <c r="O1813" s="729"/>
    </row>
    <row r="1814" spans="3:15">
      <c r="C1814" s="720">
        <f>IF(D1789="","-",+C1813+1)</f>
        <v>2037</v>
      </c>
      <c r="D1814" s="673">
        <f t="shared" si="118"/>
        <v>31650.715909090934</v>
      </c>
      <c r="E1814" s="726">
        <f t="shared" si="119"/>
        <v>1241.2045454545455</v>
      </c>
      <c r="F1814" s="673">
        <f t="shared" si="114"/>
        <v>30409.511363636389</v>
      </c>
      <c r="G1814" s="1263">
        <f t="shared" si="115"/>
        <v>6001.6130453869519</v>
      </c>
      <c r="H1814" s="1266">
        <f t="shared" si="116"/>
        <v>6001.6130453869519</v>
      </c>
      <c r="I1814" s="724">
        <f t="shared" si="117"/>
        <v>0</v>
      </c>
      <c r="J1814" s="724"/>
      <c r="K1814" s="869"/>
      <c r="L1814" s="729"/>
      <c r="M1814" s="869"/>
      <c r="N1814" s="729"/>
      <c r="O1814" s="729"/>
    </row>
    <row r="1815" spans="3:15">
      <c r="C1815" s="720">
        <f>IF(D1789="","-",+C1814+1)</f>
        <v>2038</v>
      </c>
      <c r="D1815" s="673">
        <f t="shared" si="118"/>
        <v>30409.511363636389</v>
      </c>
      <c r="E1815" s="726">
        <f t="shared" si="119"/>
        <v>1241.2045454545455</v>
      </c>
      <c r="F1815" s="673">
        <f t="shared" si="114"/>
        <v>29168.306818181845</v>
      </c>
      <c r="G1815" s="1263">
        <f t="shared" si="115"/>
        <v>5811.1967053896569</v>
      </c>
      <c r="H1815" s="1266">
        <f t="shared" si="116"/>
        <v>5811.1967053896569</v>
      </c>
      <c r="I1815" s="724">
        <f t="shared" si="117"/>
        <v>0</v>
      </c>
      <c r="J1815" s="724"/>
      <c r="K1815" s="869"/>
      <c r="L1815" s="729"/>
      <c r="M1815" s="869"/>
      <c r="N1815" s="729"/>
      <c r="O1815" s="729"/>
    </row>
    <row r="1816" spans="3:15">
      <c r="C1816" s="720">
        <f>IF(D1789="","-",+C1815+1)</f>
        <v>2039</v>
      </c>
      <c r="D1816" s="673">
        <f t="shared" si="118"/>
        <v>29168.306818181845</v>
      </c>
      <c r="E1816" s="726">
        <f t="shared" si="119"/>
        <v>1241.2045454545455</v>
      </c>
      <c r="F1816" s="673">
        <f t="shared" si="114"/>
        <v>27927.102272727301</v>
      </c>
      <c r="G1816" s="1263">
        <f t="shared" si="115"/>
        <v>5620.7803653923602</v>
      </c>
      <c r="H1816" s="1266">
        <f t="shared" si="116"/>
        <v>5620.7803653923602</v>
      </c>
      <c r="I1816" s="724">
        <f t="shared" si="117"/>
        <v>0</v>
      </c>
      <c r="J1816" s="724"/>
      <c r="K1816" s="869"/>
      <c r="L1816" s="729"/>
      <c r="M1816" s="869"/>
      <c r="N1816" s="729"/>
      <c r="O1816" s="729"/>
    </row>
    <row r="1817" spans="3:15">
      <c r="C1817" s="720">
        <f>IF(D1789="","-",+C1816+1)</f>
        <v>2040</v>
      </c>
      <c r="D1817" s="673">
        <f t="shared" si="118"/>
        <v>27927.102272727301</v>
      </c>
      <c r="E1817" s="726">
        <f t="shared" si="119"/>
        <v>1241.2045454545455</v>
      </c>
      <c r="F1817" s="673">
        <f t="shared" si="114"/>
        <v>26685.897727272757</v>
      </c>
      <c r="G1817" s="1263">
        <f t="shared" si="115"/>
        <v>5430.3640253950653</v>
      </c>
      <c r="H1817" s="1266">
        <f t="shared" si="116"/>
        <v>5430.3640253950653</v>
      </c>
      <c r="I1817" s="724">
        <f t="shared" si="117"/>
        <v>0</v>
      </c>
      <c r="J1817" s="724"/>
      <c r="K1817" s="869"/>
      <c r="L1817" s="729"/>
      <c r="M1817" s="869"/>
      <c r="N1817" s="729"/>
      <c r="O1817" s="729"/>
    </row>
    <row r="1818" spans="3:15">
      <c r="C1818" s="720">
        <f>IF(D1789="","-",+C1817+1)</f>
        <v>2041</v>
      </c>
      <c r="D1818" s="673">
        <f t="shared" si="118"/>
        <v>26685.897727272757</v>
      </c>
      <c r="E1818" s="726">
        <f t="shared" si="119"/>
        <v>1241.2045454545455</v>
      </c>
      <c r="F1818" s="673">
        <f t="shared" si="114"/>
        <v>25444.693181818213</v>
      </c>
      <c r="G1818" s="1263">
        <f t="shared" si="115"/>
        <v>5239.9476853977685</v>
      </c>
      <c r="H1818" s="1266">
        <f t="shared" si="116"/>
        <v>5239.9476853977685</v>
      </c>
      <c r="I1818" s="724">
        <f t="shared" si="117"/>
        <v>0</v>
      </c>
      <c r="J1818" s="724"/>
      <c r="K1818" s="869"/>
      <c r="L1818" s="729"/>
      <c r="M1818" s="869"/>
      <c r="N1818" s="729"/>
      <c r="O1818" s="729"/>
    </row>
    <row r="1819" spans="3:15">
      <c r="C1819" s="720">
        <f>IF(D1789="","-",+C1818+1)</f>
        <v>2042</v>
      </c>
      <c r="D1819" s="673">
        <f t="shared" si="118"/>
        <v>25444.693181818213</v>
      </c>
      <c r="E1819" s="726">
        <f t="shared" si="119"/>
        <v>1241.2045454545455</v>
      </c>
      <c r="F1819" s="673">
        <f t="shared" si="114"/>
        <v>24203.488636363669</v>
      </c>
      <c r="G1819" s="1263">
        <f t="shared" si="115"/>
        <v>5049.5313454004736</v>
      </c>
      <c r="H1819" s="1266">
        <f t="shared" si="116"/>
        <v>5049.5313454004736</v>
      </c>
      <c r="I1819" s="724">
        <f t="shared" si="117"/>
        <v>0</v>
      </c>
      <c r="J1819" s="724"/>
      <c r="K1819" s="869"/>
      <c r="L1819" s="729"/>
      <c r="M1819" s="869"/>
      <c r="N1819" s="729"/>
      <c r="O1819" s="729"/>
    </row>
    <row r="1820" spans="3:15">
      <c r="C1820" s="720">
        <f>IF(D1789="","-",+C1819+1)</f>
        <v>2043</v>
      </c>
      <c r="D1820" s="673">
        <f t="shared" si="118"/>
        <v>24203.488636363669</v>
      </c>
      <c r="E1820" s="726">
        <f t="shared" si="119"/>
        <v>1241.2045454545455</v>
      </c>
      <c r="F1820" s="673">
        <f t="shared" si="114"/>
        <v>22962.284090909125</v>
      </c>
      <c r="G1820" s="1263">
        <f t="shared" si="115"/>
        <v>4859.1150054031768</v>
      </c>
      <c r="H1820" s="1266">
        <f t="shared" si="116"/>
        <v>4859.1150054031768</v>
      </c>
      <c r="I1820" s="724">
        <f t="shared" si="117"/>
        <v>0</v>
      </c>
      <c r="J1820" s="724"/>
      <c r="K1820" s="869"/>
      <c r="L1820" s="729"/>
      <c r="M1820" s="869"/>
      <c r="N1820" s="729"/>
      <c r="O1820" s="729"/>
    </row>
    <row r="1821" spans="3:15">
      <c r="C1821" s="720">
        <f>IF(D1789="","-",+C1820+1)</f>
        <v>2044</v>
      </c>
      <c r="D1821" s="673">
        <f t="shared" si="118"/>
        <v>22962.284090909125</v>
      </c>
      <c r="E1821" s="726">
        <f t="shared" si="119"/>
        <v>1241.2045454545455</v>
      </c>
      <c r="F1821" s="673">
        <f t="shared" si="114"/>
        <v>21721.079545454581</v>
      </c>
      <c r="G1821" s="1263">
        <f t="shared" si="115"/>
        <v>4668.698665405881</v>
      </c>
      <c r="H1821" s="1266">
        <f t="shared" si="116"/>
        <v>4668.698665405881</v>
      </c>
      <c r="I1821" s="724">
        <f t="shared" si="117"/>
        <v>0</v>
      </c>
      <c r="J1821" s="724"/>
      <c r="K1821" s="869"/>
      <c r="L1821" s="729"/>
      <c r="M1821" s="869"/>
      <c r="N1821" s="729"/>
      <c r="O1821" s="729"/>
    </row>
    <row r="1822" spans="3:15">
      <c r="C1822" s="720">
        <f>IF(D1789="","-",+C1821+1)</f>
        <v>2045</v>
      </c>
      <c r="D1822" s="673">
        <f t="shared" si="118"/>
        <v>21721.079545454581</v>
      </c>
      <c r="E1822" s="726">
        <f t="shared" si="119"/>
        <v>1241.2045454545455</v>
      </c>
      <c r="F1822" s="673">
        <f t="shared" si="114"/>
        <v>20479.875000000036</v>
      </c>
      <c r="G1822" s="1263">
        <f t="shared" si="115"/>
        <v>4478.2823254085852</v>
      </c>
      <c r="H1822" s="1266">
        <f t="shared" si="116"/>
        <v>4478.2823254085852</v>
      </c>
      <c r="I1822" s="724">
        <f t="shared" si="117"/>
        <v>0</v>
      </c>
      <c r="J1822" s="724"/>
      <c r="K1822" s="869"/>
      <c r="L1822" s="729"/>
      <c r="M1822" s="869"/>
      <c r="N1822" s="729"/>
      <c r="O1822" s="729"/>
    </row>
    <row r="1823" spans="3:15">
      <c r="C1823" s="720">
        <f>IF(D1789="","-",+C1822+1)</f>
        <v>2046</v>
      </c>
      <c r="D1823" s="673">
        <f t="shared" si="118"/>
        <v>20479.875000000036</v>
      </c>
      <c r="E1823" s="726">
        <f t="shared" si="119"/>
        <v>1241.2045454545455</v>
      </c>
      <c r="F1823" s="673">
        <f t="shared" si="114"/>
        <v>19238.670454545492</v>
      </c>
      <c r="G1823" s="1264">
        <f t="shared" si="115"/>
        <v>4287.8659854112893</v>
      </c>
      <c r="H1823" s="1266">
        <f t="shared" si="116"/>
        <v>4287.8659854112893</v>
      </c>
      <c r="I1823" s="724">
        <f t="shared" si="117"/>
        <v>0</v>
      </c>
      <c r="J1823" s="724"/>
      <c r="K1823" s="869"/>
      <c r="L1823" s="729"/>
      <c r="M1823" s="869"/>
      <c r="N1823" s="729"/>
      <c r="O1823" s="729"/>
    </row>
    <row r="1824" spans="3:15">
      <c r="C1824" s="720">
        <f>IF(D1789="","-",+C1823+1)</f>
        <v>2047</v>
      </c>
      <c r="D1824" s="673">
        <f t="shared" si="118"/>
        <v>19238.670454545492</v>
      </c>
      <c r="E1824" s="726">
        <f t="shared" si="119"/>
        <v>1241.2045454545455</v>
      </c>
      <c r="F1824" s="673">
        <f t="shared" si="114"/>
        <v>17997.465909090948</v>
      </c>
      <c r="G1824" s="1263">
        <f t="shared" si="115"/>
        <v>4097.4496454139935</v>
      </c>
      <c r="H1824" s="1266">
        <f t="shared" si="116"/>
        <v>4097.4496454139935</v>
      </c>
      <c r="I1824" s="724">
        <f t="shared" si="117"/>
        <v>0</v>
      </c>
      <c r="J1824" s="724"/>
      <c r="K1824" s="869"/>
      <c r="L1824" s="729"/>
      <c r="M1824" s="869"/>
      <c r="N1824" s="729"/>
      <c r="O1824" s="729"/>
    </row>
    <row r="1825" spans="3:15">
      <c r="C1825" s="720">
        <f>IF(D1789="","-",+C1824+1)</f>
        <v>2048</v>
      </c>
      <c r="D1825" s="673">
        <f t="shared" si="118"/>
        <v>17997.465909090948</v>
      </c>
      <c r="E1825" s="726">
        <f t="shared" si="119"/>
        <v>1241.2045454545455</v>
      </c>
      <c r="F1825" s="673">
        <f t="shared" si="114"/>
        <v>16756.261363636404</v>
      </c>
      <c r="G1825" s="1263">
        <f t="shared" si="115"/>
        <v>3907.0333054166972</v>
      </c>
      <c r="H1825" s="1266">
        <f t="shared" si="116"/>
        <v>3907.0333054166972</v>
      </c>
      <c r="I1825" s="724">
        <f t="shared" si="117"/>
        <v>0</v>
      </c>
      <c r="J1825" s="724"/>
      <c r="K1825" s="869"/>
      <c r="L1825" s="729"/>
      <c r="M1825" s="869"/>
      <c r="N1825" s="729"/>
      <c r="O1825" s="729"/>
    </row>
    <row r="1826" spans="3:15">
      <c r="C1826" s="720">
        <f>IF(D1789="","-",+C1825+1)</f>
        <v>2049</v>
      </c>
      <c r="D1826" s="673">
        <f t="shared" si="118"/>
        <v>16756.261363636404</v>
      </c>
      <c r="E1826" s="726">
        <f t="shared" si="119"/>
        <v>1241.2045454545455</v>
      </c>
      <c r="F1826" s="673">
        <f t="shared" si="114"/>
        <v>15515.056818181858</v>
      </c>
      <c r="G1826" s="1263">
        <f t="shared" si="115"/>
        <v>3716.6169654194014</v>
      </c>
      <c r="H1826" s="1266">
        <f t="shared" si="116"/>
        <v>3716.6169654194014</v>
      </c>
      <c r="I1826" s="724">
        <f t="shared" si="117"/>
        <v>0</v>
      </c>
      <c r="J1826" s="724"/>
      <c r="K1826" s="869"/>
      <c r="L1826" s="729"/>
      <c r="M1826" s="869"/>
      <c r="N1826" s="729"/>
      <c r="O1826" s="729"/>
    </row>
    <row r="1827" spans="3:15">
      <c r="C1827" s="720">
        <f>IF(D1789="","-",+C1826+1)</f>
        <v>2050</v>
      </c>
      <c r="D1827" s="673">
        <f t="shared" si="118"/>
        <v>15515.056818181858</v>
      </c>
      <c r="E1827" s="726">
        <f t="shared" si="119"/>
        <v>1241.2045454545455</v>
      </c>
      <c r="F1827" s="673">
        <f t="shared" si="114"/>
        <v>14273.852272727312</v>
      </c>
      <c r="G1827" s="1263">
        <f t="shared" si="115"/>
        <v>3526.2006254221051</v>
      </c>
      <c r="H1827" s="1266">
        <f t="shared" si="116"/>
        <v>3526.2006254221051</v>
      </c>
      <c r="I1827" s="724">
        <f t="shared" si="117"/>
        <v>0</v>
      </c>
      <c r="J1827" s="724"/>
      <c r="K1827" s="869"/>
      <c r="L1827" s="729"/>
      <c r="M1827" s="869"/>
      <c r="N1827" s="729"/>
      <c r="O1827" s="729"/>
    </row>
    <row r="1828" spans="3:15">
      <c r="C1828" s="720">
        <f>IF(D1789="","-",+C1827+1)</f>
        <v>2051</v>
      </c>
      <c r="D1828" s="673">
        <f t="shared" si="118"/>
        <v>14273.852272727312</v>
      </c>
      <c r="E1828" s="726">
        <f t="shared" si="119"/>
        <v>1241.2045454545455</v>
      </c>
      <c r="F1828" s="673">
        <f t="shared" si="114"/>
        <v>13032.647727272766</v>
      </c>
      <c r="G1828" s="1263">
        <f t="shared" si="115"/>
        <v>3335.7842854248092</v>
      </c>
      <c r="H1828" s="1266">
        <f t="shared" si="116"/>
        <v>3335.7842854248092</v>
      </c>
      <c r="I1828" s="724">
        <f t="shared" si="117"/>
        <v>0</v>
      </c>
      <c r="J1828" s="724"/>
      <c r="K1828" s="869"/>
      <c r="L1828" s="729"/>
      <c r="M1828" s="869"/>
      <c r="N1828" s="729"/>
      <c r="O1828" s="729"/>
    </row>
    <row r="1829" spans="3:15">
      <c r="C1829" s="720">
        <f>IF(D1789="","-",+C1828+1)</f>
        <v>2052</v>
      </c>
      <c r="D1829" s="673">
        <f t="shared" si="118"/>
        <v>13032.647727272766</v>
      </c>
      <c r="E1829" s="726">
        <f t="shared" si="119"/>
        <v>1241.2045454545455</v>
      </c>
      <c r="F1829" s="673">
        <f t="shared" si="114"/>
        <v>11791.44318181822</v>
      </c>
      <c r="G1829" s="1263">
        <f t="shared" si="115"/>
        <v>3145.3679454275125</v>
      </c>
      <c r="H1829" s="1266">
        <f t="shared" si="116"/>
        <v>3145.3679454275125</v>
      </c>
      <c r="I1829" s="724">
        <f t="shared" si="117"/>
        <v>0</v>
      </c>
      <c r="J1829" s="724"/>
      <c r="K1829" s="869"/>
      <c r="L1829" s="729"/>
      <c r="M1829" s="869"/>
      <c r="N1829" s="729"/>
      <c r="O1829" s="729"/>
    </row>
    <row r="1830" spans="3:15">
      <c r="C1830" s="720">
        <f>IF(D1789="","-",+C1829+1)</f>
        <v>2053</v>
      </c>
      <c r="D1830" s="673">
        <f t="shared" si="118"/>
        <v>11791.44318181822</v>
      </c>
      <c r="E1830" s="726">
        <f t="shared" si="119"/>
        <v>1241.2045454545455</v>
      </c>
      <c r="F1830" s="673">
        <f t="shared" si="114"/>
        <v>10550.238636363674</v>
      </c>
      <c r="G1830" s="1263">
        <f t="shared" si="115"/>
        <v>2954.9516054302167</v>
      </c>
      <c r="H1830" s="1266">
        <f t="shared" si="116"/>
        <v>2954.9516054302167</v>
      </c>
      <c r="I1830" s="724">
        <f t="shared" si="117"/>
        <v>0</v>
      </c>
      <c r="J1830" s="724"/>
      <c r="K1830" s="869"/>
      <c r="L1830" s="729"/>
      <c r="M1830" s="869"/>
      <c r="N1830" s="729"/>
      <c r="O1830" s="729"/>
    </row>
    <row r="1831" spans="3:15">
      <c r="C1831" s="720">
        <f>IF(D1789="","-",+C1830+1)</f>
        <v>2054</v>
      </c>
      <c r="D1831" s="673">
        <f t="shared" si="118"/>
        <v>10550.238636363674</v>
      </c>
      <c r="E1831" s="726">
        <f t="shared" si="119"/>
        <v>1241.2045454545455</v>
      </c>
      <c r="F1831" s="673">
        <f t="shared" si="114"/>
        <v>9309.0340909091283</v>
      </c>
      <c r="G1831" s="1263">
        <f t="shared" si="115"/>
        <v>2764.5352654329199</v>
      </c>
      <c r="H1831" s="1266">
        <f t="shared" si="116"/>
        <v>2764.5352654329199</v>
      </c>
      <c r="I1831" s="724">
        <f t="shared" si="117"/>
        <v>0</v>
      </c>
      <c r="J1831" s="724"/>
      <c r="K1831" s="869"/>
      <c r="L1831" s="729"/>
      <c r="M1831" s="869"/>
      <c r="N1831" s="729"/>
      <c r="O1831" s="729"/>
    </row>
    <row r="1832" spans="3:15">
      <c r="C1832" s="720">
        <f>IF(D1789="","-",+C1831+1)</f>
        <v>2055</v>
      </c>
      <c r="D1832" s="673">
        <f t="shared" si="118"/>
        <v>9309.0340909091283</v>
      </c>
      <c r="E1832" s="726">
        <f t="shared" si="119"/>
        <v>1241.2045454545455</v>
      </c>
      <c r="F1832" s="673">
        <f t="shared" si="114"/>
        <v>8067.8295454545823</v>
      </c>
      <c r="G1832" s="1263">
        <f t="shared" si="115"/>
        <v>2574.1189254356241</v>
      </c>
      <c r="H1832" s="1266">
        <f t="shared" si="116"/>
        <v>2574.1189254356241</v>
      </c>
      <c r="I1832" s="724">
        <f t="shared" si="117"/>
        <v>0</v>
      </c>
      <c r="J1832" s="724"/>
      <c r="K1832" s="869"/>
      <c r="L1832" s="729"/>
      <c r="M1832" s="869"/>
      <c r="N1832" s="729"/>
      <c r="O1832" s="729"/>
    </row>
    <row r="1833" spans="3:15">
      <c r="C1833" s="720">
        <f>IF(D1789="","-",+C1832+1)</f>
        <v>2056</v>
      </c>
      <c r="D1833" s="673">
        <f t="shared" si="118"/>
        <v>8067.8295454545823</v>
      </c>
      <c r="E1833" s="726">
        <f t="shared" si="119"/>
        <v>1241.2045454545455</v>
      </c>
      <c r="F1833" s="673">
        <f t="shared" si="114"/>
        <v>6826.6250000000364</v>
      </c>
      <c r="G1833" s="1263">
        <f t="shared" si="115"/>
        <v>2383.7025854383278</v>
      </c>
      <c r="H1833" s="1266">
        <f t="shared" si="116"/>
        <v>2383.7025854383278</v>
      </c>
      <c r="I1833" s="724">
        <f t="shared" si="117"/>
        <v>0</v>
      </c>
      <c r="J1833" s="724"/>
      <c r="K1833" s="869"/>
      <c r="L1833" s="729"/>
      <c r="M1833" s="869"/>
      <c r="N1833" s="729"/>
      <c r="O1833" s="729"/>
    </row>
    <row r="1834" spans="3:15">
      <c r="C1834" s="720">
        <f>IF(D1789="","-",+C1833+1)</f>
        <v>2057</v>
      </c>
      <c r="D1834" s="673">
        <f t="shared" si="118"/>
        <v>6826.6250000000364</v>
      </c>
      <c r="E1834" s="726">
        <f t="shared" si="119"/>
        <v>1241.2045454545455</v>
      </c>
      <c r="F1834" s="673">
        <f t="shared" si="114"/>
        <v>5585.4204545454904</v>
      </c>
      <c r="G1834" s="1263">
        <f t="shared" si="115"/>
        <v>2193.2862454410315</v>
      </c>
      <c r="H1834" s="1266">
        <f t="shared" si="116"/>
        <v>2193.2862454410315</v>
      </c>
      <c r="I1834" s="724">
        <f t="shared" si="117"/>
        <v>0</v>
      </c>
      <c r="J1834" s="724"/>
      <c r="K1834" s="869"/>
      <c r="L1834" s="729"/>
      <c r="M1834" s="869"/>
      <c r="N1834" s="729"/>
      <c r="O1834" s="729"/>
    </row>
    <row r="1835" spans="3:15">
      <c r="C1835" s="720">
        <f>IF(D1789="","-",+C1834+1)</f>
        <v>2058</v>
      </c>
      <c r="D1835" s="673">
        <f t="shared" si="118"/>
        <v>5585.4204545454904</v>
      </c>
      <c r="E1835" s="726">
        <f t="shared" si="119"/>
        <v>1241.2045454545455</v>
      </c>
      <c r="F1835" s="673">
        <f t="shared" si="114"/>
        <v>4344.2159090909445</v>
      </c>
      <c r="G1835" s="1263">
        <f t="shared" si="115"/>
        <v>2002.8699054437354</v>
      </c>
      <c r="H1835" s="1266">
        <f t="shared" si="116"/>
        <v>2002.8699054437354</v>
      </c>
      <c r="I1835" s="724">
        <f t="shared" si="117"/>
        <v>0</v>
      </c>
      <c r="J1835" s="724"/>
      <c r="K1835" s="869"/>
      <c r="L1835" s="729"/>
      <c r="M1835" s="869"/>
      <c r="N1835" s="729"/>
      <c r="O1835" s="729"/>
    </row>
    <row r="1836" spans="3:15">
      <c r="C1836" s="720">
        <f>IF(D1789="","-",+C1835+1)</f>
        <v>2059</v>
      </c>
      <c r="D1836" s="673">
        <f t="shared" si="118"/>
        <v>4344.2159090909445</v>
      </c>
      <c r="E1836" s="726">
        <f t="shared" si="119"/>
        <v>1241.2045454545455</v>
      </c>
      <c r="F1836" s="673">
        <f t="shared" si="114"/>
        <v>3103.011363636399</v>
      </c>
      <c r="G1836" s="1263">
        <f t="shared" si="115"/>
        <v>1812.4535654464394</v>
      </c>
      <c r="H1836" s="1266">
        <f t="shared" si="116"/>
        <v>1812.4535654464394</v>
      </c>
      <c r="I1836" s="724">
        <f t="shared" si="117"/>
        <v>0</v>
      </c>
      <c r="J1836" s="724"/>
      <c r="K1836" s="869"/>
      <c r="L1836" s="729"/>
      <c r="M1836" s="869"/>
      <c r="N1836" s="729"/>
      <c r="O1836" s="729"/>
    </row>
    <row r="1837" spans="3:15">
      <c r="C1837" s="720">
        <f>IF(D1789="","-",+C1836+1)</f>
        <v>2060</v>
      </c>
      <c r="D1837" s="673">
        <f t="shared" si="118"/>
        <v>3103.011363636399</v>
      </c>
      <c r="E1837" s="726">
        <f t="shared" si="119"/>
        <v>1241.2045454545455</v>
      </c>
      <c r="F1837" s="673">
        <f t="shared" si="114"/>
        <v>1861.8068181818535</v>
      </c>
      <c r="G1837" s="1263">
        <f t="shared" si="115"/>
        <v>1622.0372254491431</v>
      </c>
      <c r="H1837" s="1266">
        <f t="shared" si="116"/>
        <v>1622.0372254491431</v>
      </c>
      <c r="I1837" s="724">
        <f t="shared" si="117"/>
        <v>0</v>
      </c>
      <c r="J1837" s="724"/>
      <c r="K1837" s="869"/>
      <c r="L1837" s="729"/>
      <c r="M1837" s="869"/>
      <c r="N1837" s="729"/>
      <c r="O1837" s="729"/>
    </row>
    <row r="1838" spans="3:15">
      <c r="C1838" s="720">
        <f>IF(D1789="","-",+C1837+1)</f>
        <v>2061</v>
      </c>
      <c r="D1838" s="673">
        <f t="shared" si="118"/>
        <v>1861.8068181818535</v>
      </c>
      <c r="E1838" s="726">
        <f t="shared" si="119"/>
        <v>1241.2045454545455</v>
      </c>
      <c r="F1838" s="673">
        <f t="shared" si="114"/>
        <v>620.60227272730799</v>
      </c>
      <c r="G1838" s="1263">
        <f t="shared" si="115"/>
        <v>1431.620885451847</v>
      </c>
      <c r="H1838" s="1266">
        <f t="shared" si="116"/>
        <v>1431.620885451847</v>
      </c>
      <c r="I1838" s="724">
        <f t="shared" si="117"/>
        <v>0</v>
      </c>
      <c r="J1838" s="724"/>
      <c r="K1838" s="869"/>
      <c r="L1838" s="729"/>
      <c r="M1838" s="869"/>
      <c r="N1838" s="729"/>
      <c r="O1838" s="729"/>
    </row>
    <row r="1839" spans="3:15">
      <c r="C1839" s="720">
        <f>IF(D1789="","-",+C1838+1)</f>
        <v>2062</v>
      </c>
      <c r="D1839" s="673">
        <f t="shared" si="118"/>
        <v>620.60227272730799</v>
      </c>
      <c r="E1839" s="726">
        <f t="shared" si="119"/>
        <v>620.60227272730799</v>
      </c>
      <c r="F1839" s="673">
        <f t="shared" si="114"/>
        <v>0</v>
      </c>
      <c r="G1839" s="1263">
        <f t="shared" si="115"/>
        <v>668.20635772663468</v>
      </c>
      <c r="H1839" s="1266">
        <f t="shared" si="116"/>
        <v>668.20635772663468</v>
      </c>
      <c r="I1839" s="724">
        <f t="shared" si="117"/>
        <v>0</v>
      </c>
      <c r="J1839" s="724"/>
      <c r="K1839" s="869"/>
      <c r="L1839" s="729"/>
      <c r="M1839" s="869"/>
      <c r="N1839" s="729"/>
      <c r="O1839" s="729"/>
    </row>
    <row r="1840" spans="3:15">
      <c r="C1840" s="720">
        <f>IF(D1789="","-",+C1839+1)</f>
        <v>2063</v>
      </c>
      <c r="D1840" s="673">
        <f t="shared" si="118"/>
        <v>0</v>
      </c>
      <c r="E1840" s="726">
        <f t="shared" si="119"/>
        <v>0</v>
      </c>
      <c r="F1840" s="673">
        <f t="shared" si="114"/>
        <v>0</v>
      </c>
      <c r="G1840" s="1263">
        <f t="shared" si="115"/>
        <v>0</v>
      </c>
      <c r="H1840" s="1266">
        <f t="shared" si="116"/>
        <v>0</v>
      </c>
      <c r="I1840" s="724">
        <f t="shared" si="117"/>
        <v>0</v>
      </c>
      <c r="J1840" s="724"/>
      <c r="K1840" s="869"/>
      <c r="L1840" s="729"/>
      <c r="M1840" s="869"/>
      <c r="N1840" s="729"/>
      <c r="O1840" s="729"/>
    </row>
    <row r="1841" spans="3:15">
      <c r="C1841" s="720">
        <f>IF(D1789="","-",+C1840+1)</f>
        <v>2064</v>
      </c>
      <c r="D1841" s="673">
        <f t="shared" si="118"/>
        <v>0</v>
      </c>
      <c r="E1841" s="726">
        <f t="shared" si="119"/>
        <v>0</v>
      </c>
      <c r="F1841" s="673">
        <f t="shared" si="114"/>
        <v>0</v>
      </c>
      <c r="G1841" s="1263">
        <f t="shared" si="115"/>
        <v>0</v>
      </c>
      <c r="H1841" s="1266">
        <f t="shared" si="116"/>
        <v>0</v>
      </c>
      <c r="I1841" s="724">
        <f t="shared" si="117"/>
        <v>0</v>
      </c>
      <c r="J1841" s="724"/>
      <c r="K1841" s="869"/>
      <c r="L1841" s="729"/>
      <c r="M1841" s="869"/>
      <c r="N1841" s="729"/>
      <c r="O1841" s="729"/>
    </row>
    <row r="1842" spans="3:15">
      <c r="C1842" s="720">
        <f>IF(D1789="","-",+C1841+1)</f>
        <v>2065</v>
      </c>
      <c r="D1842" s="673">
        <f t="shared" si="118"/>
        <v>0</v>
      </c>
      <c r="E1842" s="726">
        <f t="shared" si="119"/>
        <v>0</v>
      </c>
      <c r="F1842" s="673">
        <f t="shared" si="114"/>
        <v>0</v>
      </c>
      <c r="G1842" s="1263">
        <f t="shared" si="115"/>
        <v>0</v>
      </c>
      <c r="H1842" s="1266">
        <f t="shared" si="116"/>
        <v>0</v>
      </c>
      <c r="I1842" s="724">
        <f t="shared" si="117"/>
        <v>0</v>
      </c>
      <c r="J1842" s="724"/>
      <c r="K1842" s="869"/>
      <c r="L1842" s="729"/>
      <c r="M1842" s="869"/>
      <c r="N1842" s="729"/>
      <c r="O1842" s="729"/>
    </row>
    <row r="1843" spans="3:15">
      <c r="C1843" s="720">
        <f>IF(D1789="","-",+C1842+1)</f>
        <v>2066</v>
      </c>
      <c r="D1843" s="673">
        <f t="shared" si="118"/>
        <v>0</v>
      </c>
      <c r="E1843" s="726">
        <f t="shared" si="119"/>
        <v>0</v>
      </c>
      <c r="F1843" s="673">
        <f t="shared" si="114"/>
        <v>0</v>
      </c>
      <c r="G1843" s="1263">
        <f t="shared" si="115"/>
        <v>0</v>
      </c>
      <c r="H1843" s="1266">
        <f t="shared" si="116"/>
        <v>0</v>
      </c>
      <c r="I1843" s="724">
        <f t="shared" si="117"/>
        <v>0</v>
      </c>
      <c r="J1843" s="724"/>
      <c r="K1843" s="869"/>
      <c r="L1843" s="729"/>
      <c r="M1843" s="869"/>
      <c r="N1843" s="729"/>
      <c r="O1843" s="729"/>
    </row>
    <row r="1844" spans="3:15">
      <c r="C1844" s="720">
        <f>IF(D1789="","-",+C1843+1)</f>
        <v>2067</v>
      </c>
      <c r="D1844" s="673">
        <f t="shared" si="118"/>
        <v>0</v>
      </c>
      <c r="E1844" s="726">
        <f t="shared" si="119"/>
        <v>0</v>
      </c>
      <c r="F1844" s="673">
        <f t="shared" si="114"/>
        <v>0</v>
      </c>
      <c r="G1844" s="1263">
        <f t="shared" si="115"/>
        <v>0</v>
      </c>
      <c r="H1844" s="1266">
        <f t="shared" si="116"/>
        <v>0</v>
      </c>
      <c r="I1844" s="724">
        <f t="shared" si="117"/>
        <v>0</v>
      </c>
      <c r="J1844" s="724"/>
      <c r="K1844" s="869"/>
      <c r="L1844" s="729"/>
      <c r="M1844" s="869"/>
      <c r="N1844" s="729"/>
      <c r="O1844" s="729"/>
    </row>
    <row r="1845" spans="3:15">
      <c r="C1845" s="720">
        <f>IF(D1789="","-",+C1844+1)</f>
        <v>2068</v>
      </c>
      <c r="D1845" s="673">
        <f t="shared" si="118"/>
        <v>0</v>
      </c>
      <c r="E1845" s="726">
        <f t="shared" si="119"/>
        <v>0</v>
      </c>
      <c r="F1845" s="673">
        <f t="shared" si="114"/>
        <v>0</v>
      </c>
      <c r="G1845" s="1263">
        <f t="shared" si="115"/>
        <v>0</v>
      </c>
      <c r="H1845" s="1266">
        <f t="shared" si="116"/>
        <v>0</v>
      </c>
      <c r="I1845" s="724">
        <f t="shared" si="117"/>
        <v>0</v>
      </c>
      <c r="J1845" s="724"/>
      <c r="K1845" s="869"/>
      <c r="L1845" s="729"/>
      <c r="M1845" s="869"/>
      <c r="N1845" s="729"/>
      <c r="O1845" s="729"/>
    </row>
    <row r="1846" spans="3:15">
      <c r="C1846" s="720">
        <f>IF(D1789="","-",+C1845+1)</f>
        <v>2069</v>
      </c>
      <c r="D1846" s="673">
        <f t="shared" si="118"/>
        <v>0</v>
      </c>
      <c r="E1846" s="726">
        <f t="shared" si="119"/>
        <v>0</v>
      </c>
      <c r="F1846" s="673">
        <f t="shared" si="114"/>
        <v>0</v>
      </c>
      <c r="G1846" s="1263">
        <f t="shared" si="115"/>
        <v>0</v>
      </c>
      <c r="H1846" s="1266">
        <f t="shared" si="116"/>
        <v>0</v>
      </c>
      <c r="I1846" s="724">
        <f t="shared" si="117"/>
        <v>0</v>
      </c>
      <c r="J1846" s="724"/>
      <c r="K1846" s="869"/>
      <c r="L1846" s="729"/>
      <c r="M1846" s="869"/>
      <c r="N1846" s="729"/>
      <c r="O1846" s="729"/>
    </row>
    <row r="1847" spans="3:15">
      <c r="C1847" s="720">
        <f>IF(D1789="","-",+C1846+1)</f>
        <v>2070</v>
      </c>
      <c r="D1847" s="673">
        <f t="shared" si="118"/>
        <v>0</v>
      </c>
      <c r="E1847" s="726">
        <f t="shared" si="119"/>
        <v>0</v>
      </c>
      <c r="F1847" s="673">
        <f t="shared" si="114"/>
        <v>0</v>
      </c>
      <c r="G1847" s="1263">
        <f t="shared" si="115"/>
        <v>0</v>
      </c>
      <c r="H1847" s="1266">
        <f t="shared" si="116"/>
        <v>0</v>
      </c>
      <c r="I1847" s="724">
        <f t="shared" si="117"/>
        <v>0</v>
      </c>
      <c r="J1847" s="724"/>
      <c r="K1847" s="869"/>
      <c r="L1847" s="729"/>
      <c r="M1847" s="869"/>
      <c r="N1847" s="729"/>
      <c r="O1847" s="729"/>
    </row>
    <row r="1848" spans="3:15">
      <c r="C1848" s="720">
        <f>IF(D1789="","-",+C1847+1)</f>
        <v>2071</v>
      </c>
      <c r="D1848" s="673">
        <f t="shared" si="118"/>
        <v>0</v>
      </c>
      <c r="E1848" s="726">
        <f t="shared" si="119"/>
        <v>0</v>
      </c>
      <c r="F1848" s="673">
        <f t="shared" si="114"/>
        <v>0</v>
      </c>
      <c r="G1848" s="1263">
        <f t="shared" si="115"/>
        <v>0</v>
      </c>
      <c r="H1848" s="1266">
        <f t="shared" si="116"/>
        <v>0</v>
      </c>
      <c r="I1848" s="724">
        <f t="shared" si="117"/>
        <v>0</v>
      </c>
      <c r="J1848" s="724"/>
      <c r="K1848" s="869"/>
      <c r="L1848" s="729"/>
      <c r="M1848" s="869"/>
      <c r="N1848" s="729"/>
      <c r="O1848" s="729"/>
    </row>
    <row r="1849" spans="3:15">
      <c r="C1849" s="720">
        <f>IF(D1789="","-",+C1848+1)</f>
        <v>2072</v>
      </c>
      <c r="D1849" s="673">
        <f t="shared" si="118"/>
        <v>0</v>
      </c>
      <c r="E1849" s="726">
        <f t="shared" si="119"/>
        <v>0</v>
      </c>
      <c r="F1849" s="673">
        <f t="shared" si="114"/>
        <v>0</v>
      </c>
      <c r="G1849" s="1263">
        <f t="shared" si="115"/>
        <v>0</v>
      </c>
      <c r="H1849" s="1266">
        <f t="shared" si="116"/>
        <v>0</v>
      </c>
      <c r="I1849" s="724">
        <f t="shared" si="117"/>
        <v>0</v>
      </c>
      <c r="J1849" s="724"/>
      <c r="K1849" s="869"/>
      <c r="L1849" s="729"/>
      <c r="M1849" s="869"/>
      <c r="N1849" s="729"/>
      <c r="O1849" s="729"/>
    </row>
    <row r="1850" spans="3:15">
      <c r="C1850" s="720">
        <f>IF(D1789="","-",+C1849+1)</f>
        <v>2073</v>
      </c>
      <c r="D1850" s="673">
        <f t="shared" si="118"/>
        <v>0</v>
      </c>
      <c r="E1850" s="726">
        <f t="shared" si="119"/>
        <v>0</v>
      </c>
      <c r="F1850" s="673">
        <f t="shared" si="114"/>
        <v>0</v>
      </c>
      <c r="G1850" s="1263">
        <f t="shared" si="115"/>
        <v>0</v>
      </c>
      <c r="H1850" s="1266">
        <f t="shared" si="116"/>
        <v>0</v>
      </c>
      <c r="I1850" s="724">
        <f t="shared" si="117"/>
        <v>0</v>
      </c>
      <c r="J1850" s="724"/>
      <c r="K1850" s="869"/>
      <c r="L1850" s="729"/>
      <c r="M1850" s="869"/>
      <c r="N1850" s="729"/>
      <c r="O1850" s="729"/>
    </row>
    <row r="1851" spans="3:15">
      <c r="C1851" s="720">
        <f>IF(D1789="","-",+C1850+1)</f>
        <v>2074</v>
      </c>
      <c r="D1851" s="673">
        <f t="shared" si="118"/>
        <v>0</v>
      </c>
      <c r="E1851" s="726">
        <f t="shared" si="119"/>
        <v>0</v>
      </c>
      <c r="F1851" s="673">
        <f t="shared" si="114"/>
        <v>0</v>
      </c>
      <c r="G1851" s="1263">
        <f t="shared" si="115"/>
        <v>0</v>
      </c>
      <c r="H1851" s="1266">
        <f t="shared" si="116"/>
        <v>0</v>
      </c>
      <c r="I1851" s="724">
        <f t="shared" si="117"/>
        <v>0</v>
      </c>
      <c r="J1851" s="724"/>
      <c r="K1851" s="869"/>
      <c r="L1851" s="729"/>
      <c r="M1851" s="869"/>
      <c r="N1851" s="729"/>
      <c r="O1851" s="729"/>
    </row>
    <row r="1852" spans="3:15">
      <c r="C1852" s="720">
        <f>IF(D1789="","-",+C1851+1)</f>
        <v>2075</v>
      </c>
      <c r="D1852" s="673">
        <f t="shared" si="118"/>
        <v>0</v>
      </c>
      <c r="E1852" s="726">
        <f t="shared" si="119"/>
        <v>0</v>
      </c>
      <c r="F1852" s="673">
        <f t="shared" si="114"/>
        <v>0</v>
      </c>
      <c r="G1852" s="1263">
        <f t="shared" si="115"/>
        <v>0</v>
      </c>
      <c r="H1852" s="1266">
        <f t="shared" si="116"/>
        <v>0</v>
      </c>
      <c r="I1852" s="724">
        <f t="shared" si="117"/>
        <v>0</v>
      </c>
      <c r="J1852" s="724"/>
      <c r="K1852" s="869"/>
      <c r="L1852" s="729"/>
      <c r="M1852" s="869"/>
      <c r="N1852" s="729"/>
      <c r="O1852" s="729"/>
    </row>
    <row r="1853" spans="3:15">
      <c r="C1853" s="720">
        <f>IF(D1789="","-",+C1852+1)</f>
        <v>2076</v>
      </c>
      <c r="D1853" s="673">
        <f t="shared" si="118"/>
        <v>0</v>
      </c>
      <c r="E1853" s="726">
        <f t="shared" si="119"/>
        <v>0</v>
      </c>
      <c r="F1853" s="673">
        <f t="shared" si="114"/>
        <v>0</v>
      </c>
      <c r="G1853" s="1263">
        <f t="shared" si="115"/>
        <v>0</v>
      </c>
      <c r="H1853" s="1266">
        <f t="shared" si="116"/>
        <v>0</v>
      </c>
      <c r="I1853" s="724">
        <f t="shared" si="117"/>
        <v>0</v>
      </c>
      <c r="J1853" s="724"/>
      <c r="K1853" s="869"/>
      <c r="L1853" s="729"/>
      <c r="M1853" s="869"/>
      <c r="N1853" s="729"/>
      <c r="O1853" s="729"/>
    </row>
    <row r="1854" spans="3:15" ht="13.5" thickBot="1">
      <c r="C1854" s="730">
        <f>IF(D1789="","-",+C1853+1)</f>
        <v>2077</v>
      </c>
      <c r="D1854" s="731">
        <f t="shared" si="118"/>
        <v>0</v>
      </c>
      <c r="E1854" s="732">
        <f t="shared" si="119"/>
        <v>0</v>
      </c>
      <c r="F1854" s="731">
        <f t="shared" si="114"/>
        <v>0</v>
      </c>
      <c r="G1854" s="1274">
        <f t="shared" si="115"/>
        <v>0</v>
      </c>
      <c r="H1854" s="1274">
        <f t="shared" si="116"/>
        <v>0</v>
      </c>
      <c r="I1854" s="734">
        <f t="shared" si="117"/>
        <v>0</v>
      </c>
      <c r="J1854" s="724"/>
      <c r="K1854" s="870"/>
      <c r="L1854" s="736"/>
      <c r="M1854" s="870"/>
      <c r="N1854" s="736"/>
      <c r="O1854" s="736"/>
    </row>
    <row r="1855" spans="3:15">
      <c r="C1855" s="673" t="s">
        <v>288</v>
      </c>
      <c r="D1855" s="1242"/>
      <c r="E1855" s="673"/>
      <c r="F1855" s="1242"/>
      <c r="G1855" s="1242">
        <f>SUM(G1795:G1854)</f>
        <v>243125.17659732339</v>
      </c>
      <c r="H1855" s="1242">
        <f>SUM(H1795:H1854)</f>
        <v>243125.17659732339</v>
      </c>
      <c r="I1855" s="1242">
        <f>SUM(I1795:I1854)</f>
        <v>0</v>
      </c>
      <c r="J1855" s="1242"/>
      <c r="K1855" s="1242"/>
      <c r="L1855" s="1242"/>
      <c r="M1855" s="1242"/>
      <c r="N1855" s="1242"/>
      <c r="O1855" s="542"/>
    </row>
    <row r="1856" spans="3:15">
      <c r="D1856" s="563"/>
      <c r="E1856" s="542"/>
      <c r="F1856" s="542"/>
      <c r="G1856" s="542"/>
      <c r="H1856" s="1241"/>
      <c r="I1856" s="1241"/>
      <c r="J1856" s="1242"/>
      <c r="K1856" s="1241"/>
      <c r="L1856" s="1241"/>
      <c r="M1856" s="1241"/>
      <c r="N1856" s="1241"/>
      <c r="O1856" s="542"/>
    </row>
    <row r="1857" spans="1:16">
      <c r="C1857" s="542" t="s">
        <v>595</v>
      </c>
      <c r="D1857" s="563"/>
      <c r="E1857" s="542"/>
      <c r="F1857" s="542"/>
      <c r="G1857" s="542"/>
      <c r="H1857" s="1241"/>
      <c r="I1857" s="1241"/>
      <c r="J1857" s="1242"/>
      <c r="K1857" s="1241"/>
      <c r="L1857" s="1241"/>
      <c r="M1857" s="1241"/>
      <c r="N1857" s="1241"/>
      <c r="O1857" s="542"/>
    </row>
    <row r="1858" spans="1:16">
      <c r="C1858" s="542"/>
      <c r="D1858" s="563"/>
      <c r="E1858" s="542"/>
      <c r="F1858" s="542"/>
      <c r="G1858" s="542"/>
      <c r="H1858" s="1241"/>
      <c r="I1858" s="1241"/>
      <c r="J1858" s="1242"/>
      <c r="K1858" s="1241"/>
      <c r="L1858" s="1241"/>
      <c r="M1858" s="1241"/>
      <c r="N1858" s="1241"/>
      <c r="O1858" s="542"/>
    </row>
    <row r="1859" spans="1:16">
      <c r="C1859" s="684" t="s">
        <v>934</v>
      </c>
      <c r="D1859" s="673"/>
      <c r="E1859" s="673"/>
      <c r="F1859" s="673"/>
      <c r="G1859" s="1242"/>
      <c r="H1859" s="1242"/>
      <c r="I1859" s="674"/>
      <c r="J1859" s="674"/>
      <c r="K1859" s="674"/>
      <c r="L1859" s="674"/>
      <c r="M1859" s="674"/>
      <c r="N1859" s="674"/>
      <c r="O1859" s="542"/>
    </row>
    <row r="1860" spans="1:16">
      <c r="C1860" s="684" t="s">
        <v>476</v>
      </c>
      <c r="D1860" s="673"/>
      <c r="E1860" s="673"/>
      <c r="F1860" s="673"/>
      <c r="G1860" s="1242"/>
      <c r="H1860" s="1242"/>
      <c r="I1860" s="674"/>
      <c r="J1860" s="674"/>
      <c r="K1860" s="674"/>
      <c r="L1860" s="674"/>
      <c r="M1860" s="674"/>
      <c r="N1860" s="674"/>
      <c r="O1860" s="542"/>
    </row>
    <row r="1861" spans="1:16">
      <c r="C1861" s="672" t="s">
        <v>289</v>
      </c>
      <c r="D1861" s="673"/>
      <c r="E1861" s="673"/>
      <c r="F1861" s="673"/>
      <c r="G1861" s="1242"/>
      <c r="H1861" s="1242"/>
      <c r="I1861" s="674"/>
      <c r="J1861" s="674"/>
      <c r="K1861" s="674"/>
      <c r="L1861" s="674"/>
      <c r="M1861" s="674"/>
      <c r="N1861" s="674"/>
      <c r="O1861" s="542"/>
    </row>
    <row r="1862" spans="1:16">
      <c r="C1862" s="672"/>
      <c r="D1862" s="673"/>
      <c r="E1862" s="673"/>
      <c r="F1862" s="673"/>
      <c r="G1862" s="1242"/>
      <c r="H1862" s="1242"/>
      <c r="I1862" s="674"/>
      <c r="J1862" s="674"/>
      <c r="K1862" s="674"/>
      <c r="L1862" s="674"/>
      <c r="M1862" s="674"/>
      <c r="N1862" s="674"/>
      <c r="O1862" s="542"/>
    </row>
    <row r="1863" spans="1:16">
      <c r="C1863" s="1701" t="s">
        <v>460</v>
      </c>
      <c r="D1863" s="1701"/>
      <c r="E1863" s="1701"/>
      <c r="F1863" s="1701"/>
      <c r="G1863" s="1701"/>
      <c r="H1863" s="1701"/>
      <c r="I1863" s="1701"/>
      <c r="J1863" s="1701"/>
      <c r="K1863" s="1701"/>
      <c r="L1863" s="1701"/>
      <c r="M1863" s="1701"/>
      <c r="N1863" s="1701"/>
      <c r="O1863" s="1701"/>
    </row>
    <row r="1864" spans="1:16">
      <c r="C1864" s="1701"/>
      <c r="D1864" s="1701"/>
      <c r="E1864" s="1701"/>
      <c r="F1864" s="1701"/>
      <c r="G1864" s="1701"/>
      <c r="H1864" s="1701"/>
      <c r="I1864" s="1701"/>
      <c r="J1864" s="1701"/>
      <c r="K1864" s="1701"/>
      <c r="L1864" s="1701"/>
      <c r="M1864" s="1701"/>
      <c r="N1864" s="1701"/>
      <c r="O1864" s="1701"/>
    </row>
    <row r="1865" spans="1:16" ht="20.25">
      <c r="A1865" s="675" t="s">
        <v>931</v>
      </c>
      <c r="B1865" s="576"/>
      <c r="C1865" s="655"/>
      <c r="D1865" s="563"/>
      <c r="E1865" s="542"/>
      <c r="F1865" s="645"/>
      <c r="G1865" s="542"/>
      <c r="H1865" s="1241"/>
      <c r="K1865" s="676"/>
      <c r="L1865" s="676"/>
      <c r="M1865" s="676"/>
      <c r="N1865" s="591" t="str">
        <f>"Page "&amp;SUM(P$6:P1865)&amp;" of "</f>
        <v xml:space="preserve">Page 21 of </v>
      </c>
      <c r="O1865" s="592">
        <f>COUNT(P$6:P$59579)</f>
        <v>22</v>
      </c>
      <c r="P1865" s="542">
        <v>1</v>
      </c>
    </row>
    <row r="1866" spans="1:16">
      <c r="B1866" s="576"/>
      <c r="C1866" s="542"/>
      <c r="D1866" s="563"/>
      <c r="E1866" s="542"/>
      <c r="F1866" s="542"/>
      <c r="G1866" s="542"/>
      <c r="H1866" s="1241"/>
      <c r="I1866" s="542"/>
      <c r="J1866" s="588"/>
      <c r="K1866" s="542"/>
      <c r="L1866" s="542"/>
      <c r="M1866" s="542"/>
      <c r="N1866" s="542"/>
      <c r="O1866" s="542"/>
    </row>
    <row r="1867" spans="1:16" ht="18">
      <c r="B1867" s="595" t="s">
        <v>174</v>
      </c>
      <c r="C1867" s="677" t="s">
        <v>290</v>
      </c>
      <c r="D1867" s="563"/>
      <c r="E1867" s="542"/>
      <c r="F1867" s="542"/>
      <c r="G1867" s="542"/>
      <c r="H1867" s="1241"/>
      <c r="I1867" s="1241"/>
      <c r="J1867" s="1242"/>
      <c r="K1867" s="1241"/>
      <c r="L1867" s="1241"/>
      <c r="M1867" s="1241"/>
      <c r="N1867" s="1241"/>
      <c r="O1867" s="542"/>
    </row>
    <row r="1868" spans="1:16" ht="18.75">
      <c r="B1868" s="595"/>
      <c r="C1868" s="594"/>
      <c r="D1868" s="563"/>
      <c r="E1868" s="542"/>
      <c r="F1868" s="542"/>
      <c r="G1868" s="542"/>
      <c r="H1868" s="1241"/>
      <c r="I1868" s="1241"/>
      <c r="J1868" s="1242"/>
      <c r="K1868" s="1241"/>
      <c r="L1868" s="1241"/>
      <c r="M1868" s="1241"/>
      <c r="N1868" s="1241"/>
      <c r="O1868" s="542"/>
    </row>
    <row r="1869" spans="1:16" ht="18.75">
      <c r="B1869" s="595"/>
      <c r="C1869" s="594" t="s">
        <v>291</v>
      </c>
      <c r="D1869" s="563"/>
      <c r="E1869" s="542"/>
      <c r="F1869" s="542"/>
      <c r="G1869" s="542"/>
      <c r="H1869" s="1241"/>
      <c r="I1869" s="1241"/>
      <c r="J1869" s="1242"/>
      <c r="K1869" s="1241"/>
      <c r="L1869" s="1241"/>
      <c r="M1869" s="1241"/>
      <c r="N1869" s="1241"/>
      <c r="O1869" s="542"/>
    </row>
    <row r="1870" spans="1:16" ht="15.75" thickBot="1">
      <c r="C1870" s="396"/>
      <c r="D1870" s="563"/>
      <c r="E1870" s="542"/>
      <c r="F1870" s="542"/>
      <c r="G1870" s="542"/>
      <c r="H1870" s="1241"/>
      <c r="I1870" s="1241"/>
      <c r="J1870" s="1242"/>
      <c r="K1870" s="1241"/>
      <c r="L1870" s="1241"/>
      <c r="M1870" s="1241"/>
      <c r="N1870" s="1241"/>
      <c r="O1870" s="542"/>
    </row>
    <row r="1871" spans="1:16" ht="15.75">
      <c r="C1871" s="596" t="s">
        <v>292</v>
      </c>
      <c r="D1871" s="563"/>
      <c r="E1871" s="542"/>
      <c r="F1871" s="542"/>
      <c r="G1871" s="1276"/>
      <c r="H1871" s="542" t="s">
        <v>271</v>
      </c>
      <c r="I1871" s="542"/>
      <c r="J1871" s="588"/>
      <c r="K1871" s="678" t="s">
        <v>296</v>
      </c>
      <c r="L1871" s="679"/>
      <c r="M1871" s="680"/>
      <c r="N1871" s="1244">
        <f>VLOOKUP(I1877,C1884:O1943,5)</f>
        <v>40940.833869131857</v>
      </c>
      <c r="O1871" s="542"/>
    </row>
    <row r="1872" spans="1:16" ht="15.75">
      <c r="C1872" s="596"/>
      <c r="D1872" s="563"/>
      <c r="E1872" s="542"/>
      <c r="F1872" s="542"/>
      <c r="G1872" s="542"/>
      <c r="H1872" s="1245"/>
      <c r="I1872" s="1245"/>
      <c r="J1872" s="1246"/>
      <c r="K1872" s="683" t="s">
        <v>297</v>
      </c>
      <c r="L1872" s="1247"/>
      <c r="M1872" s="588"/>
      <c r="N1872" s="1248">
        <f>VLOOKUP(I1877,C1884:O1943,6)</f>
        <v>40940.833869131857</v>
      </c>
      <c r="O1872" s="542"/>
    </row>
    <row r="1873" spans="1:15" ht="15.75" thickBot="1">
      <c r="C1873" s="684" t="s">
        <v>293</v>
      </c>
      <c r="D1873" s="1703" t="s">
        <v>954</v>
      </c>
      <c r="E1873" s="1703"/>
      <c r="F1873" s="1703"/>
      <c r="G1873" s="1703"/>
      <c r="H1873" s="1245"/>
      <c r="I1873" s="1245"/>
      <c r="J1873" s="1242"/>
      <c r="K1873" s="1249" t="s">
        <v>450</v>
      </c>
      <c r="L1873" s="1250"/>
      <c r="M1873" s="1250"/>
      <c r="N1873" s="1251">
        <f>+N1872-N1871</f>
        <v>0</v>
      </c>
      <c r="O1873" s="542"/>
    </row>
    <row r="1874" spans="1:15">
      <c r="C1874" s="686"/>
      <c r="D1874" s="687"/>
      <c r="E1874" s="671"/>
      <c r="F1874" s="671"/>
      <c r="G1874" s="688"/>
      <c r="H1874" s="1241"/>
      <c r="I1874" s="1241"/>
      <c r="J1874" s="1242"/>
      <c r="K1874" s="1241"/>
      <c r="L1874" s="1241"/>
      <c r="M1874" s="1241"/>
      <c r="N1874" s="1241"/>
      <c r="O1874" s="542"/>
    </row>
    <row r="1875" spans="1:15" ht="13.5" thickBot="1">
      <c r="C1875" s="689"/>
      <c r="D1875" s="1252"/>
      <c r="E1875" s="688"/>
      <c r="F1875" s="688"/>
      <c r="G1875" s="688"/>
      <c r="H1875" s="688"/>
      <c r="I1875" s="688"/>
      <c r="J1875" s="691"/>
      <c r="K1875" s="688"/>
      <c r="L1875" s="688"/>
      <c r="M1875" s="688"/>
      <c r="N1875" s="688"/>
      <c r="O1875" s="576"/>
    </row>
    <row r="1876" spans="1:15" ht="13.5" thickBot="1">
      <c r="C1876" s="692" t="s">
        <v>294</v>
      </c>
      <c r="D1876" s="693"/>
      <c r="E1876" s="693"/>
      <c r="F1876" s="693"/>
      <c r="G1876" s="693"/>
      <c r="H1876" s="693"/>
      <c r="I1876" s="694"/>
      <c r="J1876" s="695"/>
      <c r="K1876" s="542"/>
      <c r="L1876" s="542"/>
      <c r="M1876" s="542"/>
      <c r="N1876" s="542"/>
      <c r="O1876" s="696"/>
    </row>
    <row r="1877" spans="1:15" ht="15">
      <c r="C1877" s="697" t="s">
        <v>272</v>
      </c>
      <c r="D1877" s="1253">
        <v>242015</v>
      </c>
      <c r="E1877" s="655" t="s">
        <v>273</v>
      </c>
      <c r="G1877" s="698"/>
      <c r="H1877" s="698"/>
      <c r="I1877" s="699">
        <v>2018</v>
      </c>
      <c r="J1877" s="586"/>
      <c r="K1877" s="1702" t="s">
        <v>459</v>
      </c>
      <c r="L1877" s="1702"/>
      <c r="M1877" s="1702"/>
      <c r="N1877" s="1702"/>
      <c r="O1877" s="1702"/>
    </row>
    <row r="1878" spans="1:15">
      <c r="C1878" s="697" t="s">
        <v>275</v>
      </c>
      <c r="D1878" s="865">
        <v>2016</v>
      </c>
      <c r="E1878" s="697" t="s">
        <v>276</v>
      </c>
      <c r="F1878" s="698"/>
      <c r="H1878" s="330"/>
      <c r="I1878" s="1254">
        <f>IF(G1871="",0,$F$15)</f>
        <v>0</v>
      </c>
      <c r="J1878" s="700"/>
      <c r="K1878" s="1242" t="s">
        <v>459</v>
      </c>
    </row>
    <row r="1879" spans="1:15">
      <c r="C1879" s="697" t="s">
        <v>277</v>
      </c>
      <c r="D1879" s="1253">
        <v>6</v>
      </c>
      <c r="E1879" s="697" t="s">
        <v>278</v>
      </c>
      <c r="F1879" s="698"/>
      <c r="H1879" s="330"/>
      <c r="I1879" s="701">
        <f>$G$70</f>
        <v>0.15341253840442806</v>
      </c>
      <c r="J1879" s="702"/>
      <c r="K1879" s="330" t="str">
        <f>"          INPUT PROJECTED ARR (WITH &amp; WITHOUT INCENTIVES) FROM EACH PRIOR YEAR"</f>
        <v xml:space="preserve">          INPUT PROJECTED ARR (WITH &amp; WITHOUT INCENTIVES) FROM EACH PRIOR YEAR</v>
      </c>
    </row>
    <row r="1880" spans="1:15">
      <c r="C1880" s="697" t="s">
        <v>279</v>
      </c>
      <c r="D1880" s="703">
        <f>G$79</f>
        <v>44</v>
      </c>
      <c r="E1880" s="697" t="s">
        <v>280</v>
      </c>
      <c r="F1880" s="698"/>
      <c r="H1880" s="330"/>
      <c r="I1880" s="701">
        <f>IF(G1871="",I1879,$G$67)</f>
        <v>0.15341253840442806</v>
      </c>
      <c r="J1880" s="704"/>
      <c r="K1880" s="330" t="s">
        <v>357</v>
      </c>
    </row>
    <row r="1881" spans="1:15" ht="13.5" thickBot="1">
      <c r="C1881" s="697" t="s">
        <v>281</v>
      </c>
      <c r="D1881" s="866" t="s">
        <v>933</v>
      </c>
      <c r="E1881" s="705" t="s">
        <v>282</v>
      </c>
      <c r="F1881" s="706"/>
      <c r="G1881" s="707"/>
      <c r="H1881" s="707"/>
      <c r="I1881" s="1251">
        <f>IF(D1877=0,0,D1877/D1880)</f>
        <v>5500.340909090909</v>
      </c>
      <c r="J1881" s="1242"/>
      <c r="K1881" s="1242" t="s">
        <v>363</v>
      </c>
      <c r="L1881" s="1242"/>
      <c r="M1881" s="1242"/>
      <c r="N1881" s="1242"/>
      <c r="O1881" s="588"/>
    </row>
    <row r="1882" spans="1:15" ht="51">
      <c r="A1882" s="529"/>
      <c r="B1882" s="1255"/>
      <c r="C1882" s="708" t="s">
        <v>272</v>
      </c>
      <c r="D1882" s="1256" t="s">
        <v>283</v>
      </c>
      <c r="E1882" s="1257" t="s">
        <v>284</v>
      </c>
      <c r="F1882" s="1256" t="s">
        <v>285</v>
      </c>
      <c r="G1882" s="1257" t="s">
        <v>356</v>
      </c>
      <c r="H1882" s="1258" t="s">
        <v>356</v>
      </c>
      <c r="I1882" s="708" t="s">
        <v>295</v>
      </c>
      <c r="J1882" s="712"/>
      <c r="K1882" s="1257" t="s">
        <v>365</v>
      </c>
      <c r="L1882" s="1259"/>
      <c r="M1882" s="1257" t="s">
        <v>365</v>
      </c>
      <c r="N1882" s="1259"/>
      <c r="O1882" s="1259"/>
    </row>
    <row r="1883" spans="1:15" ht="13.5" thickBot="1">
      <c r="C1883" s="714" t="s">
        <v>177</v>
      </c>
      <c r="D1883" s="715" t="s">
        <v>178</v>
      </c>
      <c r="E1883" s="714" t="s">
        <v>37</v>
      </c>
      <c r="F1883" s="715" t="s">
        <v>178</v>
      </c>
      <c r="G1883" s="1260" t="s">
        <v>298</v>
      </c>
      <c r="H1883" s="1261" t="s">
        <v>300</v>
      </c>
      <c r="I1883" s="718" t="s">
        <v>389</v>
      </c>
      <c r="J1883" s="719"/>
      <c r="K1883" s="1260" t="s">
        <v>287</v>
      </c>
      <c r="L1883" s="1262"/>
      <c r="M1883" s="1260" t="s">
        <v>300</v>
      </c>
      <c r="N1883" s="1262"/>
      <c r="O1883" s="1262"/>
    </row>
    <row r="1884" spans="1:15">
      <c r="C1884" s="720">
        <f>IF(D1878= "","-",D1878)</f>
        <v>2016</v>
      </c>
      <c r="D1884" s="673">
        <f>+D1877</f>
        <v>242015</v>
      </c>
      <c r="E1884" s="1263">
        <f>+I1881/12*(12-D1879)</f>
        <v>2750.1704545454545</v>
      </c>
      <c r="F1884" s="673">
        <f t="shared" ref="F1884:F1943" si="120">+D1884-E1884</f>
        <v>239264.82954545456</v>
      </c>
      <c r="G1884" s="1288">
        <f>+$I$1879*((D1884+F1884)/2)+E1884</f>
        <v>39667.35062125478</v>
      </c>
      <c r="H1884" s="1289">
        <f>$I$1880*((D1884+F1884)/2)+E1884</f>
        <v>39667.35062125478</v>
      </c>
      <c r="I1884" s="724">
        <f>+H1884-G1884</f>
        <v>0</v>
      </c>
      <c r="J1884" s="724"/>
      <c r="K1884" s="868">
        <v>0</v>
      </c>
      <c r="L1884" s="725"/>
      <c r="M1884" s="868">
        <v>0</v>
      </c>
      <c r="N1884" s="725"/>
      <c r="O1884" s="725"/>
    </row>
    <row r="1885" spans="1:15">
      <c r="C1885" s="720">
        <f>IF(D1878="","-",+C1884+1)</f>
        <v>2017</v>
      </c>
      <c r="D1885" s="673">
        <f>F1884</f>
        <v>239264.82954545456</v>
      </c>
      <c r="E1885" s="726">
        <f>IF(D1885&gt;$I$1881,$I$1881,D1885)</f>
        <v>5500.340909090909</v>
      </c>
      <c r="F1885" s="673">
        <f t="shared" si="120"/>
        <v>233764.48863636365</v>
      </c>
      <c r="G1885" s="1263">
        <f t="shared" ref="G1885:G1943" si="121">+$I$1879*((D1885+F1885)/2)+E1885</f>
        <v>41784.655130085215</v>
      </c>
      <c r="H1885" s="1266">
        <f t="shared" ref="H1885:H1943" si="122">$I$1880*((D1885+F1885)/2)+E1885</f>
        <v>41784.655130085215</v>
      </c>
      <c r="I1885" s="724">
        <f t="shared" ref="I1885:I1943" si="123">+H1885-G1885</f>
        <v>0</v>
      </c>
      <c r="J1885" s="724"/>
      <c r="K1885" s="869">
        <v>51695</v>
      </c>
      <c r="L1885" s="729"/>
      <c r="M1885" s="869">
        <v>51695</v>
      </c>
      <c r="N1885" s="729"/>
      <c r="O1885" s="729"/>
    </row>
    <row r="1886" spans="1:15">
      <c r="C1886" s="1268">
        <f>IF(D1878="","-",+C1885+1)</f>
        <v>2018</v>
      </c>
      <c r="D1886" s="1269">
        <f t="shared" ref="D1886:D1943" si="124">F1885</f>
        <v>233764.48863636365</v>
      </c>
      <c r="E1886" s="1270">
        <f t="shared" ref="E1886:E1943" si="125">IF(D1886&gt;$I$1881,$I$1881,D1886)</f>
        <v>5500.340909090909</v>
      </c>
      <c r="F1886" s="1269">
        <f t="shared" si="120"/>
        <v>228264.14772727274</v>
      </c>
      <c r="G1886" s="1271">
        <f t="shared" si="121"/>
        <v>40940.833869131857</v>
      </c>
      <c r="H1886" s="1272">
        <f t="shared" si="122"/>
        <v>40940.833869131857</v>
      </c>
      <c r="I1886" s="1273">
        <f t="shared" si="123"/>
        <v>0</v>
      </c>
      <c r="J1886" s="724"/>
      <c r="K1886" s="869"/>
      <c r="L1886" s="729"/>
      <c r="M1886" s="869"/>
      <c r="N1886" s="729"/>
      <c r="O1886" s="729"/>
    </row>
    <row r="1887" spans="1:15">
      <c r="C1887" s="720">
        <f>IF(D1878="","-",+C1886+1)</f>
        <v>2019</v>
      </c>
      <c r="D1887" s="673">
        <f t="shared" si="124"/>
        <v>228264.14772727274</v>
      </c>
      <c r="E1887" s="726">
        <f t="shared" si="125"/>
        <v>5500.340909090909</v>
      </c>
      <c r="F1887" s="673">
        <f t="shared" si="120"/>
        <v>222763.80681818182</v>
      </c>
      <c r="G1887" s="1263">
        <f t="shared" si="121"/>
        <v>40097.012608178506</v>
      </c>
      <c r="H1887" s="1266">
        <f t="shared" si="122"/>
        <v>40097.012608178506</v>
      </c>
      <c r="I1887" s="724">
        <f t="shared" si="123"/>
        <v>0</v>
      </c>
      <c r="J1887" s="724"/>
      <c r="K1887" s="869"/>
      <c r="L1887" s="729"/>
      <c r="M1887" s="869"/>
      <c r="N1887" s="729"/>
      <c r="O1887" s="729"/>
    </row>
    <row r="1888" spans="1:15">
      <c r="C1888" s="720">
        <f>IF(D1878="","-",+C1887+1)</f>
        <v>2020</v>
      </c>
      <c r="D1888" s="673">
        <f t="shared" si="124"/>
        <v>222763.80681818182</v>
      </c>
      <c r="E1888" s="726">
        <f t="shared" si="125"/>
        <v>5500.340909090909</v>
      </c>
      <c r="F1888" s="673">
        <f t="shared" si="120"/>
        <v>217263.46590909091</v>
      </c>
      <c r="G1888" s="1263">
        <f t="shared" si="121"/>
        <v>39253.191347225147</v>
      </c>
      <c r="H1888" s="1266">
        <f t="shared" si="122"/>
        <v>39253.191347225147</v>
      </c>
      <c r="I1888" s="724">
        <f t="shared" si="123"/>
        <v>0</v>
      </c>
      <c r="J1888" s="724"/>
      <c r="K1888" s="869"/>
      <c r="L1888" s="729"/>
      <c r="M1888" s="869"/>
      <c r="N1888" s="729"/>
      <c r="O1888" s="729"/>
    </row>
    <row r="1889" spans="3:15">
      <c r="C1889" s="720">
        <f>IF(D1878="","-",+C1888+1)</f>
        <v>2021</v>
      </c>
      <c r="D1889" s="673">
        <f t="shared" si="124"/>
        <v>217263.46590909091</v>
      </c>
      <c r="E1889" s="726">
        <f t="shared" si="125"/>
        <v>5500.340909090909</v>
      </c>
      <c r="F1889" s="673">
        <f t="shared" si="120"/>
        <v>211763.125</v>
      </c>
      <c r="G1889" s="1263">
        <f t="shared" si="121"/>
        <v>38409.370086271789</v>
      </c>
      <c r="H1889" s="1266">
        <f t="shared" si="122"/>
        <v>38409.370086271789</v>
      </c>
      <c r="I1889" s="724">
        <f t="shared" si="123"/>
        <v>0</v>
      </c>
      <c r="J1889" s="724"/>
      <c r="K1889" s="869"/>
      <c r="L1889" s="729"/>
      <c r="M1889" s="869"/>
      <c r="N1889" s="729"/>
      <c r="O1889" s="729"/>
    </row>
    <row r="1890" spans="3:15">
      <c r="C1890" s="720">
        <f>IF(D1878="","-",+C1889+1)</f>
        <v>2022</v>
      </c>
      <c r="D1890" s="673">
        <f t="shared" si="124"/>
        <v>211763.125</v>
      </c>
      <c r="E1890" s="726">
        <f t="shared" si="125"/>
        <v>5500.340909090909</v>
      </c>
      <c r="F1890" s="673">
        <f t="shared" si="120"/>
        <v>206262.78409090909</v>
      </c>
      <c r="G1890" s="1263">
        <f t="shared" si="121"/>
        <v>37565.54882531843</v>
      </c>
      <c r="H1890" s="1266">
        <f t="shared" si="122"/>
        <v>37565.54882531843</v>
      </c>
      <c r="I1890" s="724">
        <f t="shared" si="123"/>
        <v>0</v>
      </c>
      <c r="J1890" s="724"/>
      <c r="K1890" s="869"/>
      <c r="L1890" s="729"/>
      <c r="M1890" s="869"/>
      <c r="N1890" s="729"/>
      <c r="O1890" s="729"/>
    </row>
    <row r="1891" spans="3:15">
      <c r="C1891" s="720">
        <f>IF(D1878="","-",+C1890+1)</f>
        <v>2023</v>
      </c>
      <c r="D1891" s="673">
        <f t="shared" si="124"/>
        <v>206262.78409090909</v>
      </c>
      <c r="E1891" s="726">
        <f t="shared" si="125"/>
        <v>5500.340909090909</v>
      </c>
      <c r="F1891" s="673">
        <f t="shared" si="120"/>
        <v>200762.44318181818</v>
      </c>
      <c r="G1891" s="1263">
        <f t="shared" si="121"/>
        <v>36721.727564365079</v>
      </c>
      <c r="H1891" s="1266">
        <f t="shared" si="122"/>
        <v>36721.727564365079</v>
      </c>
      <c r="I1891" s="724">
        <f t="shared" si="123"/>
        <v>0</v>
      </c>
      <c r="J1891" s="724"/>
      <c r="K1891" s="869"/>
      <c r="L1891" s="729"/>
      <c r="M1891" s="869"/>
      <c r="N1891" s="729"/>
      <c r="O1891" s="729"/>
    </row>
    <row r="1892" spans="3:15">
      <c r="C1892" s="720">
        <f>IF(D1878="","-",+C1891+1)</f>
        <v>2024</v>
      </c>
      <c r="D1892" s="673">
        <f t="shared" si="124"/>
        <v>200762.44318181818</v>
      </c>
      <c r="E1892" s="726">
        <f t="shared" si="125"/>
        <v>5500.340909090909</v>
      </c>
      <c r="F1892" s="673">
        <f t="shared" si="120"/>
        <v>195262.10227272726</v>
      </c>
      <c r="G1892" s="1263">
        <f t="shared" si="121"/>
        <v>35877.906303411721</v>
      </c>
      <c r="H1892" s="1266">
        <f t="shared" si="122"/>
        <v>35877.906303411721</v>
      </c>
      <c r="I1892" s="724">
        <f t="shared" si="123"/>
        <v>0</v>
      </c>
      <c r="J1892" s="724"/>
      <c r="K1892" s="869"/>
      <c r="L1892" s="729"/>
      <c r="M1892" s="869"/>
      <c r="N1892" s="729"/>
      <c r="O1892" s="729"/>
    </row>
    <row r="1893" spans="3:15">
      <c r="C1893" s="720">
        <f>IF(D1878="","-",+C1892+1)</f>
        <v>2025</v>
      </c>
      <c r="D1893" s="673">
        <f t="shared" si="124"/>
        <v>195262.10227272726</v>
      </c>
      <c r="E1893" s="726">
        <f t="shared" si="125"/>
        <v>5500.340909090909</v>
      </c>
      <c r="F1893" s="673">
        <f t="shared" si="120"/>
        <v>189761.76136363635</v>
      </c>
      <c r="G1893" s="1263">
        <f t="shared" si="121"/>
        <v>35034.085042458362</v>
      </c>
      <c r="H1893" s="1266">
        <f t="shared" si="122"/>
        <v>35034.085042458362</v>
      </c>
      <c r="I1893" s="724">
        <f t="shared" si="123"/>
        <v>0</v>
      </c>
      <c r="J1893" s="724"/>
      <c r="K1893" s="869"/>
      <c r="L1893" s="729"/>
      <c r="M1893" s="869"/>
      <c r="N1893" s="729"/>
      <c r="O1893" s="729"/>
    </row>
    <row r="1894" spans="3:15">
      <c r="C1894" s="720">
        <f>IF(D1878="","-",+C1893+1)</f>
        <v>2026</v>
      </c>
      <c r="D1894" s="673">
        <f t="shared" si="124"/>
        <v>189761.76136363635</v>
      </c>
      <c r="E1894" s="726">
        <f t="shared" si="125"/>
        <v>5500.340909090909</v>
      </c>
      <c r="F1894" s="673">
        <f t="shared" si="120"/>
        <v>184261.42045454544</v>
      </c>
      <c r="G1894" s="1263">
        <f t="shared" si="121"/>
        <v>34190.263781505004</v>
      </c>
      <c r="H1894" s="1266">
        <f t="shared" si="122"/>
        <v>34190.263781505004</v>
      </c>
      <c r="I1894" s="724">
        <f t="shared" si="123"/>
        <v>0</v>
      </c>
      <c r="J1894" s="724"/>
      <c r="K1894" s="869"/>
      <c r="L1894" s="729"/>
      <c r="M1894" s="869"/>
      <c r="N1894" s="729"/>
      <c r="O1894" s="729"/>
    </row>
    <row r="1895" spans="3:15">
      <c r="C1895" s="720">
        <f>IF(D1878="","-",+C1894+1)</f>
        <v>2027</v>
      </c>
      <c r="D1895" s="673">
        <f t="shared" si="124"/>
        <v>184261.42045454544</v>
      </c>
      <c r="E1895" s="726">
        <f t="shared" si="125"/>
        <v>5500.340909090909</v>
      </c>
      <c r="F1895" s="673">
        <f t="shared" si="120"/>
        <v>178761.07954545453</v>
      </c>
      <c r="G1895" s="1263">
        <f t="shared" si="121"/>
        <v>33346.442520551653</v>
      </c>
      <c r="H1895" s="1266">
        <f t="shared" si="122"/>
        <v>33346.442520551653</v>
      </c>
      <c r="I1895" s="724">
        <f t="shared" si="123"/>
        <v>0</v>
      </c>
      <c r="J1895" s="724"/>
      <c r="K1895" s="869"/>
      <c r="L1895" s="729"/>
      <c r="M1895" s="869"/>
      <c r="N1895" s="729"/>
      <c r="O1895" s="729"/>
    </row>
    <row r="1896" spans="3:15">
      <c r="C1896" s="720">
        <f>IF(D1878="","-",+C1895+1)</f>
        <v>2028</v>
      </c>
      <c r="D1896" s="673">
        <f t="shared" si="124"/>
        <v>178761.07954545453</v>
      </c>
      <c r="E1896" s="726">
        <f t="shared" si="125"/>
        <v>5500.340909090909</v>
      </c>
      <c r="F1896" s="673">
        <f t="shared" si="120"/>
        <v>173260.73863636362</v>
      </c>
      <c r="G1896" s="1263">
        <f t="shared" si="121"/>
        <v>32502.621259598291</v>
      </c>
      <c r="H1896" s="1266">
        <f t="shared" si="122"/>
        <v>32502.621259598291</v>
      </c>
      <c r="I1896" s="724">
        <f t="shared" si="123"/>
        <v>0</v>
      </c>
      <c r="J1896" s="724"/>
      <c r="K1896" s="869"/>
      <c r="L1896" s="729"/>
      <c r="M1896" s="869"/>
      <c r="N1896" s="729"/>
      <c r="O1896" s="729"/>
    </row>
    <row r="1897" spans="3:15">
      <c r="C1897" s="720">
        <f>IF(D1878="","-",+C1896+1)</f>
        <v>2029</v>
      </c>
      <c r="D1897" s="673">
        <f t="shared" si="124"/>
        <v>173260.73863636362</v>
      </c>
      <c r="E1897" s="726">
        <f t="shared" si="125"/>
        <v>5500.340909090909</v>
      </c>
      <c r="F1897" s="673">
        <f t="shared" si="120"/>
        <v>167760.39772727271</v>
      </c>
      <c r="G1897" s="1263">
        <f t="shared" si="121"/>
        <v>31658.799998644939</v>
      </c>
      <c r="H1897" s="1266">
        <f t="shared" si="122"/>
        <v>31658.799998644939</v>
      </c>
      <c r="I1897" s="724">
        <f t="shared" si="123"/>
        <v>0</v>
      </c>
      <c r="J1897" s="724"/>
      <c r="K1897" s="869"/>
      <c r="L1897" s="729"/>
      <c r="M1897" s="869"/>
      <c r="N1897" s="729"/>
      <c r="O1897" s="729"/>
    </row>
    <row r="1898" spans="3:15">
      <c r="C1898" s="720">
        <f>IF(D1878="","-",+C1897+1)</f>
        <v>2030</v>
      </c>
      <c r="D1898" s="673">
        <f t="shared" si="124"/>
        <v>167760.39772727271</v>
      </c>
      <c r="E1898" s="726">
        <f t="shared" si="125"/>
        <v>5500.340909090909</v>
      </c>
      <c r="F1898" s="673">
        <f t="shared" si="120"/>
        <v>162260.05681818179</v>
      </c>
      <c r="G1898" s="1263">
        <f t="shared" si="121"/>
        <v>30814.978737691577</v>
      </c>
      <c r="H1898" s="1266">
        <f t="shared" si="122"/>
        <v>30814.978737691577</v>
      </c>
      <c r="I1898" s="724">
        <f t="shared" si="123"/>
        <v>0</v>
      </c>
      <c r="J1898" s="724"/>
      <c r="K1898" s="869"/>
      <c r="L1898" s="729"/>
      <c r="M1898" s="869"/>
      <c r="N1898" s="729"/>
      <c r="O1898" s="729"/>
    </row>
    <row r="1899" spans="3:15">
      <c r="C1899" s="720">
        <f>IF(D1878="","-",+C1898+1)</f>
        <v>2031</v>
      </c>
      <c r="D1899" s="673">
        <f t="shared" si="124"/>
        <v>162260.05681818179</v>
      </c>
      <c r="E1899" s="726">
        <f t="shared" si="125"/>
        <v>5500.340909090909</v>
      </c>
      <c r="F1899" s="673">
        <f t="shared" si="120"/>
        <v>156759.71590909088</v>
      </c>
      <c r="G1899" s="1263">
        <f t="shared" si="121"/>
        <v>29971.157476738226</v>
      </c>
      <c r="H1899" s="1266">
        <f t="shared" si="122"/>
        <v>29971.157476738226</v>
      </c>
      <c r="I1899" s="724">
        <f t="shared" si="123"/>
        <v>0</v>
      </c>
      <c r="J1899" s="724"/>
      <c r="K1899" s="869"/>
      <c r="L1899" s="729"/>
      <c r="M1899" s="869"/>
      <c r="N1899" s="729"/>
      <c r="O1899" s="729"/>
    </row>
    <row r="1900" spans="3:15">
      <c r="C1900" s="720">
        <f>IF(D1878="","-",+C1899+1)</f>
        <v>2032</v>
      </c>
      <c r="D1900" s="673">
        <f t="shared" si="124"/>
        <v>156759.71590909088</v>
      </c>
      <c r="E1900" s="726">
        <f t="shared" si="125"/>
        <v>5500.340909090909</v>
      </c>
      <c r="F1900" s="673">
        <f t="shared" si="120"/>
        <v>151259.37499999997</v>
      </c>
      <c r="G1900" s="1263">
        <f t="shared" si="121"/>
        <v>29127.336215784864</v>
      </c>
      <c r="H1900" s="1266">
        <f t="shared" si="122"/>
        <v>29127.336215784864</v>
      </c>
      <c r="I1900" s="724">
        <f t="shared" si="123"/>
        <v>0</v>
      </c>
      <c r="J1900" s="724"/>
      <c r="K1900" s="869"/>
      <c r="L1900" s="729"/>
      <c r="M1900" s="869"/>
      <c r="N1900" s="729"/>
      <c r="O1900" s="729"/>
    </row>
    <row r="1901" spans="3:15">
      <c r="C1901" s="720">
        <f>IF(D1878="","-",+C1900+1)</f>
        <v>2033</v>
      </c>
      <c r="D1901" s="673">
        <f t="shared" si="124"/>
        <v>151259.37499999997</v>
      </c>
      <c r="E1901" s="726">
        <f t="shared" si="125"/>
        <v>5500.340909090909</v>
      </c>
      <c r="F1901" s="673">
        <f t="shared" si="120"/>
        <v>145759.03409090906</v>
      </c>
      <c r="G1901" s="1263">
        <f t="shared" si="121"/>
        <v>28283.514954831513</v>
      </c>
      <c r="H1901" s="1266">
        <f t="shared" si="122"/>
        <v>28283.514954831513</v>
      </c>
      <c r="I1901" s="724">
        <f t="shared" si="123"/>
        <v>0</v>
      </c>
      <c r="J1901" s="724"/>
      <c r="K1901" s="869"/>
      <c r="L1901" s="729"/>
      <c r="M1901" s="869"/>
      <c r="N1901" s="729"/>
      <c r="O1901" s="729"/>
    </row>
    <row r="1902" spans="3:15">
      <c r="C1902" s="720">
        <f>IF(D1878="","-",+C1901+1)</f>
        <v>2034</v>
      </c>
      <c r="D1902" s="673">
        <f t="shared" si="124"/>
        <v>145759.03409090906</v>
      </c>
      <c r="E1902" s="726">
        <f t="shared" si="125"/>
        <v>5500.340909090909</v>
      </c>
      <c r="F1902" s="673">
        <f t="shared" si="120"/>
        <v>140258.69318181815</v>
      </c>
      <c r="G1902" s="1263">
        <f t="shared" si="121"/>
        <v>27439.693693878155</v>
      </c>
      <c r="H1902" s="1266">
        <f t="shared" si="122"/>
        <v>27439.693693878155</v>
      </c>
      <c r="I1902" s="724">
        <f t="shared" si="123"/>
        <v>0</v>
      </c>
      <c r="J1902" s="724"/>
      <c r="K1902" s="869"/>
      <c r="L1902" s="729"/>
      <c r="M1902" s="869"/>
      <c r="N1902" s="729"/>
      <c r="O1902" s="729"/>
    </row>
    <row r="1903" spans="3:15">
      <c r="C1903" s="720">
        <f>IF(D1878="","-",+C1902+1)</f>
        <v>2035</v>
      </c>
      <c r="D1903" s="673">
        <f t="shared" si="124"/>
        <v>140258.69318181815</v>
      </c>
      <c r="E1903" s="726">
        <f t="shared" si="125"/>
        <v>5500.340909090909</v>
      </c>
      <c r="F1903" s="673">
        <f t="shared" si="120"/>
        <v>134758.35227272724</v>
      </c>
      <c r="G1903" s="1263">
        <f t="shared" si="121"/>
        <v>26595.8724329248</v>
      </c>
      <c r="H1903" s="1266">
        <f t="shared" si="122"/>
        <v>26595.8724329248</v>
      </c>
      <c r="I1903" s="724">
        <f t="shared" si="123"/>
        <v>0</v>
      </c>
      <c r="J1903" s="724"/>
      <c r="K1903" s="869"/>
      <c r="L1903" s="729"/>
      <c r="M1903" s="869"/>
      <c r="N1903" s="729"/>
      <c r="O1903" s="729"/>
    </row>
    <row r="1904" spans="3:15">
      <c r="C1904" s="720">
        <f>IF(D1878="","-",+C1903+1)</f>
        <v>2036</v>
      </c>
      <c r="D1904" s="673">
        <f t="shared" si="124"/>
        <v>134758.35227272724</v>
      </c>
      <c r="E1904" s="726">
        <f t="shared" si="125"/>
        <v>5500.340909090909</v>
      </c>
      <c r="F1904" s="673">
        <f t="shared" si="120"/>
        <v>129258.01136363632</v>
      </c>
      <c r="G1904" s="1263">
        <f t="shared" si="121"/>
        <v>25752.051171971441</v>
      </c>
      <c r="H1904" s="1266">
        <f t="shared" si="122"/>
        <v>25752.051171971441</v>
      </c>
      <c r="I1904" s="724">
        <f t="shared" si="123"/>
        <v>0</v>
      </c>
      <c r="J1904" s="724"/>
      <c r="K1904" s="869"/>
      <c r="L1904" s="729"/>
      <c r="M1904" s="869"/>
      <c r="N1904" s="729"/>
      <c r="O1904" s="729"/>
    </row>
    <row r="1905" spans="3:15">
      <c r="C1905" s="720">
        <f>IF(D1878="","-",+C1904+1)</f>
        <v>2037</v>
      </c>
      <c r="D1905" s="673">
        <f t="shared" si="124"/>
        <v>129258.01136363632</v>
      </c>
      <c r="E1905" s="726">
        <f t="shared" si="125"/>
        <v>5500.340909090909</v>
      </c>
      <c r="F1905" s="673">
        <f t="shared" si="120"/>
        <v>123757.67045454541</v>
      </c>
      <c r="G1905" s="1263">
        <f t="shared" si="121"/>
        <v>24908.229911018087</v>
      </c>
      <c r="H1905" s="1266">
        <f t="shared" si="122"/>
        <v>24908.229911018087</v>
      </c>
      <c r="I1905" s="724">
        <f t="shared" si="123"/>
        <v>0</v>
      </c>
      <c r="J1905" s="724"/>
      <c r="K1905" s="869"/>
      <c r="L1905" s="729"/>
      <c r="M1905" s="869"/>
      <c r="N1905" s="729"/>
      <c r="O1905" s="729"/>
    </row>
    <row r="1906" spans="3:15">
      <c r="C1906" s="720">
        <f>IF(D1878="","-",+C1905+1)</f>
        <v>2038</v>
      </c>
      <c r="D1906" s="673">
        <f t="shared" si="124"/>
        <v>123757.67045454541</v>
      </c>
      <c r="E1906" s="726">
        <f t="shared" si="125"/>
        <v>5500.340909090909</v>
      </c>
      <c r="F1906" s="673">
        <f t="shared" si="120"/>
        <v>118257.3295454545</v>
      </c>
      <c r="G1906" s="1263">
        <f t="shared" si="121"/>
        <v>24064.408650064732</v>
      </c>
      <c r="H1906" s="1266">
        <f t="shared" si="122"/>
        <v>24064.408650064732</v>
      </c>
      <c r="I1906" s="724">
        <f t="shared" si="123"/>
        <v>0</v>
      </c>
      <c r="J1906" s="724"/>
      <c r="K1906" s="869"/>
      <c r="L1906" s="729"/>
      <c r="M1906" s="869"/>
      <c r="N1906" s="729"/>
      <c r="O1906" s="729"/>
    </row>
    <row r="1907" spans="3:15">
      <c r="C1907" s="720">
        <f>IF(D1878="","-",+C1906+1)</f>
        <v>2039</v>
      </c>
      <c r="D1907" s="673">
        <f t="shared" si="124"/>
        <v>118257.3295454545</v>
      </c>
      <c r="E1907" s="726">
        <f t="shared" si="125"/>
        <v>5500.340909090909</v>
      </c>
      <c r="F1907" s="673">
        <f t="shared" si="120"/>
        <v>112756.98863636359</v>
      </c>
      <c r="G1907" s="1263">
        <f t="shared" si="121"/>
        <v>23220.587389111373</v>
      </c>
      <c r="H1907" s="1266">
        <f t="shared" si="122"/>
        <v>23220.587389111373</v>
      </c>
      <c r="I1907" s="724">
        <f t="shared" si="123"/>
        <v>0</v>
      </c>
      <c r="J1907" s="724"/>
      <c r="K1907" s="869"/>
      <c r="L1907" s="729"/>
      <c r="M1907" s="869"/>
      <c r="N1907" s="729"/>
      <c r="O1907" s="729"/>
    </row>
    <row r="1908" spans="3:15">
      <c r="C1908" s="720">
        <f>IF(D1878="","-",+C1907+1)</f>
        <v>2040</v>
      </c>
      <c r="D1908" s="673">
        <f t="shared" si="124"/>
        <v>112756.98863636359</v>
      </c>
      <c r="E1908" s="726">
        <f t="shared" si="125"/>
        <v>5500.340909090909</v>
      </c>
      <c r="F1908" s="673">
        <f t="shared" si="120"/>
        <v>107256.64772727268</v>
      </c>
      <c r="G1908" s="1263">
        <f t="shared" si="121"/>
        <v>22376.766128158019</v>
      </c>
      <c r="H1908" s="1266">
        <f t="shared" si="122"/>
        <v>22376.766128158019</v>
      </c>
      <c r="I1908" s="724">
        <f t="shared" si="123"/>
        <v>0</v>
      </c>
      <c r="J1908" s="724"/>
      <c r="K1908" s="869"/>
      <c r="L1908" s="729"/>
      <c r="M1908" s="869"/>
      <c r="N1908" s="729"/>
      <c r="O1908" s="729"/>
    </row>
    <row r="1909" spans="3:15">
      <c r="C1909" s="720">
        <f>IF(D1878="","-",+C1908+1)</f>
        <v>2041</v>
      </c>
      <c r="D1909" s="673">
        <f t="shared" si="124"/>
        <v>107256.64772727268</v>
      </c>
      <c r="E1909" s="726">
        <f t="shared" si="125"/>
        <v>5500.340909090909</v>
      </c>
      <c r="F1909" s="673">
        <f t="shared" si="120"/>
        <v>101756.30681818177</v>
      </c>
      <c r="G1909" s="1263">
        <f t="shared" si="121"/>
        <v>21532.944867204664</v>
      </c>
      <c r="H1909" s="1266">
        <f t="shared" si="122"/>
        <v>21532.944867204664</v>
      </c>
      <c r="I1909" s="724">
        <f t="shared" si="123"/>
        <v>0</v>
      </c>
      <c r="J1909" s="724"/>
      <c r="K1909" s="869"/>
      <c r="L1909" s="729"/>
      <c r="M1909" s="869"/>
      <c r="N1909" s="729"/>
      <c r="O1909" s="729"/>
    </row>
    <row r="1910" spans="3:15">
      <c r="C1910" s="720">
        <f>IF(D1878="","-",+C1909+1)</f>
        <v>2042</v>
      </c>
      <c r="D1910" s="673">
        <f t="shared" si="124"/>
        <v>101756.30681818177</v>
      </c>
      <c r="E1910" s="726">
        <f t="shared" si="125"/>
        <v>5500.340909090909</v>
      </c>
      <c r="F1910" s="673">
        <f t="shared" si="120"/>
        <v>96255.965909090854</v>
      </c>
      <c r="G1910" s="1263">
        <f t="shared" si="121"/>
        <v>20689.123606251305</v>
      </c>
      <c r="H1910" s="1266">
        <f t="shared" si="122"/>
        <v>20689.123606251305</v>
      </c>
      <c r="I1910" s="724">
        <f t="shared" si="123"/>
        <v>0</v>
      </c>
      <c r="J1910" s="724"/>
      <c r="K1910" s="869"/>
      <c r="L1910" s="729"/>
      <c r="M1910" s="869"/>
      <c r="N1910" s="729"/>
      <c r="O1910" s="729"/>
    </row>
    <row r="1911" spans="3:15">
      <c r="C1911" s="720">
        <f>IF(D1878="","-",+C1910+1)</f>
        <v>2043</v>
      </c>
      <c r="D1911" s="673">
        <f t="shared" si="124"/>
        <v>96255.965909090854</v>
      </c>
      <c r="E1911" s="726">
        <f t="shared" si="125"/>
        <v>5500.340909090909</v>
      </c>
      <c r="F1911" s="673">
        <f t="shared" si="120"/>
        <v>90755.624999999942</v>
      </c>
      <c r="G1911" s="1263">
        <f t="shared" si="121"/>
        <v>19845.302345297951</v>
      </c>
      <c r="H1911" s="1266">
        <f t="shared" si="122"/>
        <v>19845.302345297951</v>
      </c>
      <c r="I1911" s="724">
        <f t="shared" si="123"/>
        <v>0</v>
      </c>
      <c r="J1911" s="724"/>
      <c r="K1911" s="869"/>
      <c r="L1911" s="729"/>
      <c r="M1911" s="869"/>
      <c r="N1911" s="729"/>
      <c r="O1911" s="729"/>
    </row>
    <row r="1912" spans="3:15">
      <c r="C1912" s="720">
        <f>IF(D1878="","-",+C1911+1)</f>
        <v>2044</v>
      </c>
      <c r="D1912" s="673">
        <f t="shared" si="124"/>
        <v>90755.624999999942</v>
      </c>
      <c r="E1912" s="726">
        <f t="shared" si="125"/>
        <v>5500.340909090909</v>
      </c>
      <c r="F1912" s="673">
        <f t="shared" si="120"/>
        <v>85255.28409090903</v>
      </c>
      <c r="G1912" s="1264">
        <f t="shared" si="121"/>
        <v>19001.481084344592</v>
      </c>
      <c r="H1912" s="1266">
        <f t="shared" si="122"/>
        <v>19001.481084344592</v>
      </c>
      <c r="I1912" s="724">
        <f t="shared" si="123"/>
        <v>0</v>
      </c>
      <c r="J1912" s="724"/>
      <c r="K1912" s="869"/>
      <c r="L1912" s="729"/>
      <c r="M1912" s="869"/>
      <c r="N1912" s="729"/>
      <c r="O1912" s="729"/>
    </row>
    <row r="1913" spans="3:15">
      <c r="C1913" s="720">
        <f>IF(D1878="","-",+C1912+1)</f>
        <v>2045</v>
      </c>
      <c r="D1913" s="673">
        <f t="shared" si="124"/>
        <v>85255.28409090903</v>
      </c>
      <c r="E1913" s="726">
        <f t="shared" si="125"/>
        <v>5500.340909090909</v>
      </c>
      <c r="F1913" s="673">
        <f t="shared" si="120"/>
        <v>79754.943181818118</v>
      </c>
      <c r="G1913" s="1263">
        <f t="shared" si="121"/>
        <v>18157.659823391237</v>
      </c>
      <c r="H1913" s="1266">
        <f t="shared" si="122"/>
        <v>18157.659823391237</v>
      </c>
      <c r="I1913" s="724">
        <f t="shared" si="123"/>
        <v>0</v>
      </c>
      <c r="J1913" s="724"/>
      <c r="K1913" s="869"/>
      <c r="L1913" s="729"/>
      <c r="M1913" s="869"/>
      <c r="N1913" s="729"/>
      <c r="O1913" s="729"/>
    </row>
    <row r="1914" spans="3:15">
      <c r="C1914" s="720">
        <f>IF(D1878="","-",+C1913+1)</f>
        <v>2046</v>
      </c>
      <c r="D1914" s="673">
        <f t="shared" si="124"/>
        <v>79754.943181818118</v>
      </c>
      <c r="E1914" s="726">
        <f t="shared" si="125"/>
        <v>5500.340909090909</v>
      </c>
      <c r="F1914" s="673">
        <f t="shared" si="120"/>
        <v>74254.602272727207</v>
      </c>
      <c r="G1914" s="1263">
        <f t="shared" si="121"/>
        <v>17313.838562437883</v>
      </c>
      <c r="H1914" s="1266">
        <f t="shared" si="122"/>
        <v>17313.838562437883</v>
      </c>
      <c r="I1914" s="724">
        <f t="shared" si="123"/>
        <v>0</v>
      </c>
      <c r="J1914" s="724"/>
      <c r="K1914" s="869"/>
      <c r="L1914" s="729"/>
      <c r="M1914" s="869"/>
      <c r="N1914" s="729"/>
      <c r="O1914" s="729"/>
    </row>
    <row r="1915" spans="3:15">
      <c r="C1915" s="720">
        <f>IF(D1878="","-",+C1914+1)</f>
        <v>2047</v>
      </c>
      <c r="D1915" s="673">
        <f t="shared" si="124"/>
        <v>74254.602272727207</v>
      </c>
      <c r="E1915" s="726">
        <f t="shared" si="125"/>
        <v>5500.340909090909</v>
      </c>
      <c r="F1915" s="673">
        <f t="shared" si="120"/>
        <v>68754.261363636295</v>
      </c>
      <c r="G1915" s="1263">
        <f t="shared" si="121"/>
        <v>16470.017301484524</v>
      </c>
      <c r="H1915" s="1266">
        <f t="shared" si="122"/>
        <v>16470.017301484524</v>
      </c>
      <c r="I1915" s="724">
        <f t="shared" si="123"/>
        <v>0</v>
      </c>
      <c r="J1915" s="724"/>
      <c r="K1915" s="869"/>
      <c r="L1915" s="729"/>
      <c r="M1915" s="869"/>
      <c r="N1915" s="729"/>
      <c r="O1915" s="729"/>
    </row>
    <row r="1916" spans="3:15">
      <c r="C1916" s="720">
        <f>IF(D1878="","-",+C1915+1)</f>
        <v>2048</v>
      </c>
      <c r="D1916" s="673">
        <f t="shared" si="124"/>
        <v>68754.261363636295</v>
      </c>
      <c r="E1916" s="726">
        <f t="shared" si="125"/>
        <v>5500.340909090909</v>
      </c>
      <c r="F1916" s="673">
        <f t="shared" si="120"/>
        <v>63253.920454545383</v>
      </c>
      <c r="G1916" s="1263">
        <f t="shared" si="121"/>
        <v>15626.196040531169</v>
      </c>
      <c r="H1916" s="1266">
        <f t="shared" si="122"/>
        <v>15626.196040531169</v>
      </c>
      <c r="I1916" s="724">
        <f t="shared" si="123"/>
        <v>0</v>
      </c>
      <c r="J1916" s="724"/>
      <c r="K1916" s="869"/>
      <c r="L1916" s="729"/>
      <c r="M1916" s="869"/>
      <c r="N1916" s="729"/>
      <c r="O1916" s="729"/>
    </row>
    <row r="1917" spans="3:15">
      <c r="C1917" s="720">
        <f>IF(D1878="","-",+C1916+1)</f>
        <v>2049</v>
      </c>
      <c r="D1917" s="673">
        <f t="shared" si="124"/>
        <v>63253.920454545383</v>
      </c>
      <c r="E1917" s="726">
        <f t="shared" si="125"/>
        <v>5500.340909090909</v>
      </c>
      <c r="F1917" s="673">
        <f t="shared" si="120"/>
        <v>57753.579545454471</v>
      </c>
      <c r="G1917" s="1263">
        <f t="shared" si="121"/>
        <v>14782.374779577811</v>
      </c>
      <c r="H1917" s="1266">
        <f t="shared" si="122"/>
        <v>14782.374779577811</v>
      </c>
      <c r="I1917" s="724">
        <f t="shared" si="123"/>
        <v>0</v>
      </c>
      <c r="J1917" s="724"/>
      <c r="K1917" s="869"/>
      <c r="L1917" s="729"/>
      <c r="M1917" s="869"/>
      <c r="N1917" s="729"/>
      <c r="O1917" s="729"/>
    </row>
    <row r="1918" spans="3:15">
      <c r="C1918" s="720">
        <f>IF(D1878="","-",+C1917+1)</f>
        <v>2050</v>
      </c>
      <c r="D1918" s="673">
        <f t="shared" si="124"/>
        <v>57753.579545454471</v>
      </c>
      <c r="E1918" s="726">
        <f t="shared" si="125"/>
        <v>5500.340909090909</v>
      </c>
      <c r="F1918" s="673">
        <f t="shared" si="120"/>
        <v>52253.23863636356</v>
      </c>
      <c r="G1918" s="1263">
        <f t="shared" si="121"/>
        <v>13938.553518624456</v>
      </c>
      <c r="H1918" s="1266">
        <f t="shared" si="122"/>
        <v>13938.553518624456</v>
      </c>
      <c r="I1918" s="724">
        <f t="shared" si="123"/>
        <v>0</v>
      </c>
      <c r="J1918" s="724"/>
      <c r="K1918" s="869"/>
      <c r="L1918" s="729"/>
      <c r="M1918" s="869"/>
      <c r="N1918" s="729"/>
      <c r="O1918" s="729"/>
    </row>
    <row r="1919" spans="3:15">
      <c r="C1919" s="720">
        <f>IF(D1878="","-",+C1918+1)</f>
        <v>2051</v>
      </c>
      <c r="D1919" s="673">
        <f t="shared" si="124"/>
        <v>52253.23863636356</v>
      </c>
      <c r="E1919" s="726">
        <f t="shared" si="125"/>
        <v>5500.340909090909</v>
      </c>
      <c r="F1919" s="673">
        <f t="shared" si="120"/>
        <v>46752.897727272648</v>
      </c>
      <c r="G1919" s="1263">
        <f t="shared" si="121"/>
        <v>13094.732257671099</v>
      </c>
      <c r="H1919" s="1266">
        <f t="shared" si="122"/>
        <v>13094.732257671099</v>
      </c>
      <c r="I1919" s="724">
        <f t="shared" si="123"/>
        <v>0</v>
      </c>
      <c r="J1919" s="724"/>
      <c r="K1919" s="869"/>
      <c r="L1919" s="729"/>
      <c r="M1919" s="869"/>
      <c r="N1919" s="729"/>
      <c r="O1919" s="729"/>
    </row>
    <row r="1920" spans="3:15">
      <c r="C1920" s="720">
        <f>IF(D1878="","-",+C1919+1)</f>
        <v>2052</v>
      </c>
      <c r="D1920" s="673">
        <f t="shared" si="124"/>
        <v>46752.897727272648</v>
      </c>
      <c r="E1920" s="726">
        <f t="shared" si="125"/>
        <v>5500.340909090909</v>
      </c>
      <c r="F1920" s="673">
        <f t="shared" si="120"/>
        <v>41252.556818181736</v>
      </c>
      <c r="G1920" s="1263">
        <f t="shared" si="121"/>
        <v>12250.910996717743</v>
      </c>
      <c r="H1920" s="1266">
        <f t="shared" si="122"/>
        <v>12250.910996717743</v>
      </c>
      <c r="I1920" s="724">
        <f t="shared" si="123"/>
        <v>0</v>
      </c>
      <c r="J1920" s="724"/>
      <c r="K1920" s="869"/>
      <c r="L1920" s="729"/>
      <c r="M1920" s="869"/>
      <c r="N1920" s="729"/>
      <c r="O1920" s="729"/>
    </row>
    <row r="1921" spans="3:15">
      <c r="C1921" s="720">
        <f>IF(D1878="","-",+C1920+1)</f>
        <v>2053</v>
      </c>
      <c r="D1921" s="673">
        <f t="shared" si="124"/>
        <v>41252.556818181736</v>
      </c>
      <c r="E1921" s="726">
        <f t="shared" si="125"/>
        <v>5500.340909090909</v>
      </c>
      <c r="F1921" s="673">
        <f t="shared" si="120"/>
        <v>35752.215909090824</v>
      </c>
      <c r="G1921" s="1263">
        <f t="shared" si="121"/>
        <v>11407.089735764388</v>
      </c>
      <c r="H1921" s="1266">
        <f t="shared" si="122"/>
        <v>11407.089735764388</v>
      </c>
      <c r="I1921" s="724">
        <f t="shared" si="123"/>
        <v>0</v>
      </c>
      <c r="J1921" s="724"/>
      <c r="K1921" s="869"/>
      <c r="L1921" s="729"/>
      <c r="M1921" s="869"/>
      <c r="N1921" s="729"/>
      <c r="O1921" s="729"/>
    </row>
    <row r="1922" spans="3:15">
      <c r="C1922" s="720">
        <f>IF(D1878="","-",+C1921+1)</f>
        <v>2054</v>
      </c>
      <c r="D1922" s="673">
        <f t="shared" si="124"/>
        <v>35752.215909090824</v>
      </c>
      <c r="E1922" s="726">
        <f t="shared" si="125"/>
        <v>5500.340909090909</v>
      </c>
      <c r="F1922" s="673">
        <f t="shared" si="120"/>
        <v>30251.874999999916</v>
      </c>
      <c r="G1922" s="1263">
        <f t="shared" si="121"/>
        <v>10563.26847481103</v>
      </c>
      <c r="H1922" s="1266">
        <f t="shared" si="122"/>
        <v>10563.26847481103</v>
      </c>
      <c r="I1922" s="724">
        <f t="shared" si="123"/>
        <v>0</v>
      </c>
      <c r="J1922" s="724"/>
      <c r="K1922" s="869"/>
      <c r="L1922" s="729"/>
      <c r="M1922" s="869"/>
      <c r="N1922" s="729"/>
      <c r="O1922" s="729"/>
    </row>
    <row r="1923" spans="3:15">
      <c r="C1923" s="720">
        <f>IF(D1878="","-",+C1922+1)</f>
        <v>2055</v>
      </c>
      <c r="D1923" s="673">
        <f t="shared" si="124"/>
        <v>30251.874999999916</v>
      </c>
      <c r="E1923" s="726">
        <f t="shared" si="125"/>
        <v>5500.340909090909</v>
      </c>
      <c r="F1923" s="673">
        <f t="shared" si="120"/>
        <v>24751.534090909008</v>
      </c>
      <c r="G1923" s="1263">
        <f t="shared" si="121"/>
        <v>9719.4472138576748</v>
      </c>
      <c r="H1923" s="1266">
        <f t="shared" si="122"/>
        <v>9719.4472138576748</v>
      </c>
      <c r="I1923" s="724">
        <f t="shared" si="123"/>
        <v>0</v>
      </c>
      <c r="J1923" s="724"/>
      <c r="K1923" s="869"/>
      <c r="L1923" s="729"/>
      <c r="M1923" s="869"/>
      <c r="N1923" s="729"/>
      <c r="O1923" s="729"/>
    </row>
    <row r="1924" spans="3:15">
      <c r="C1924" s="720">
        <f>IF(D1878="","-",+C1923+1)</f>
        <v>2056</v>
      </c>
      <c r="D1924" s="673">
        <f t="shared" si="124"/>
        <v>24751.534090909008</v>
      </c>
      <c r="E1924" s="726">
        <f t="shared" si="125"/>
        <v>5500.340909090909</v>
      </c>
      <c r="F1924" s="673">
        <f t="shared" si="120"/>
        <v>19251.1931818181</v>
      </c>
      <c r="G1924" s="1263">
        <f t="shared" si="121"/>
        <v>8875.62595290432</v>
      </c>
      <c r="H1924" s="1266">
        <f t="shared" si="122"/>
        <v>8875.62595290432</v>
      </c>
      <c r="I1924" s="724">
        <f t="shared" si="123"/>
        <v>0</v>
      </c>
      <c r="J1924" s="724"/>
      <c r="K1924" s="869"/>
      <c r="L1924" s="729"/>
      <c r="M1924" s="869"/>
      <c r="N1924" s="729"/>
      <c r="O1924" s="729"/>
    </row>
    <row r="1925" spans="3:15">
      <c r="C1925" s="720">
        <f>IF(D1878="","-",+C1924+1)</f>
        <v>2057</v>
      </c>
      <c r="D1925" s="673">
        <f t="shared" si="124"/>
        <v>19251.1931818181</v>
      </c>
      <c r="E1925" s="726">
        <f t="shared" si="125"/>
        <v>5500.340909090909</v>
      </c>
      <c r="F1925" s="673">
        <f t="shared" si="120"/>
        <v>13750.852272727192</v>
      </c>
      <c r="G1925" s="1263">
        <f t="shared" si="121"/>
        <v>8031.8046919509643</v>
      </c>
      <c r="H1925" s="1266">
        <f t="shared" si="122"/>
        <v>8031.8046919509643</v>
      </c>
      <c r="I1925" s="724">
        <f t="shared" si="123"/>
        <v>0</v>
      </c>
      <c r="J1925" s="724"/>
      <c r="K1925" s="869"/>
      <c r="L1925" s="729"/>
      <c r="M1925" s="869"/>
      <c r="N1925" s="729"/>
      <c r="O1925" s="729"/>
    </row>
    <row r="1926" spans="3:15">
      <c r="C1926" s="720">
        <f>IF(D1878="","-",+C1925+1)</f>
        <v>2058</v>
      </c>
      <c r="D1926" s="673">
        <f t="shared" si="124"/>
        <v>13750.852272727192</v>
      </c>
      <c r="E1926" s="726">
        <f t="shared" si="125"/>
        <v>5500.340909090909</v>
      </c>
      <c r="F1926" s="673">
        <f t="shared" si="120"/>
        <v>8250.5113636362839</v>
      </c>
      <c r="G1926" s="1263">
        <f t="shared" si="121"/>
        <v>7187.9834309976086</v>
      </c>
      <c r="H1926" s="1266">
        <f t="shared" si="122"/>
        <v>7187.9834309976086</v>
      </c>
      <c r="I1926" s="724">
        <f t="shared" si="123"/>
        <v>0</v>
      </c>
      <c r="J1926" s="724"/>
      <c r="K1926" s="869"/>
      <c r="L1926" s="729"/>
      <c r="M1926" s="869"/>
      <c r="N1926" s="729"/>
      <c r="O1926" s="729"/>
    </row>
    <row r="1927" spans="3:15">
      <c r="C1927" s="720">
        <f>IF(D1878="","-",+C1926+1)</f>
        <v>2059</v>
      </c>
      <c r="D1927" s="673">
        <f t="shared" si="124"/>
        <v>8250.5113636362839</v>
      </c>
      <c r="E1927" s="726">
        <f t="shared" si="125"/>
        <v>5500.340909090909</v>
      </c>
      <c r="F1927" s="673">
        <f t="shared" si="120"/>
        <v>2750.1704545453749</v>
      </c>
      <c r="G1927" s="1263">
        <f t="shared" si="121"/>
        <v>6344.1621700442529</v>
      </c>
      <c r="H1927" s="1266">
        <f t="shared" si="122"/>
        <v>6344.1621700442529</v>
      </c>
      <c r="I1927" s="724">
        <f t="shared" si="123"/>
        <v>0</v>
      </c>
      <c r="J1927" s="724"/>
      <c r="K1927" s="869"/>
      <c r="L1927" s="729"/>
      <c r="M1927" s="869"/>
      <c r="N1927" s="729"/>
      <c r="O1927" s="729"/>
    </row>
    <row r="1928" spans="3:15">
      <c r="C1928" s="720">
        <f>IF(D1878="","-",+C1927+1)</f>
        <v>2060</v>
      </c>
      <c r="D1928" s="673">
        <f t="shared" si="124"/>
        <v>2750.1704545453749</v>
      </c>
      <c r="E1928" s="726">
        <f t="shared" si="125"/>
        <v>2750.1704545453749</v>
      </c>
      <c r="F1928" s="673">
        <f t="shared" si="120"/>
        <v>0</v>
      </c>
      <c r="G1928" s="1263">
        <f t="shared" si="121"/>
        <v>2961.1257697837077</v>
      </c>
      <c r="H1928" s="1266">
        <f t="shared" si="122"/>
        <v>2961.1257697837077</v>
      </c>
      <c r="I1928" s="724">
        <f t="shared" si="123"/>
        <v>0</v>
      </c>
      <c r="J1928" s="724"/>
      <c r="K1928" s="869"/>
      <c r="L1928" s="729"/>
      <c r="M1928" s="869"/>
      <c r="N1928" s="729"/>
      <c r="O1928" s="729"/>
    </row>
    <row r="1929" spans="3:15">
      <c r="C1929" s="720">
        <f>IF(D1878="","-",+C1928+1)</f>
        <v>2061</v>
      </c>
      <c r="D1929" s="673">
        <f t="shared" si="124"/>
        <v>0</v>
      </c>
      <c r="E1929" s="726">
        <f t="shared" si="125"/>
        <v>0</v>
      </c>
      <c r="F1929" s="673">
        <f t="shared" si="120"/>
        <v>0</v>
      </c>
      <c r="G1929" s="1263">
        <f t="shared" si="121"/>
        <v>0</v>
      </c>
      <c r="H1929" s="1266">
        <f t="shared" si="122"/>
        <v>0</v>
      </c>
      <c r="I1929" s="724">
        <f t="shared" si="123"/>
        <v>0</v>
      </c>
      <c r="J1929" s="724"/>
      <c r="K1929" s="869"/>
      <c r="L1929" s="729"/>
      <c r="M1929" s="869"/>
      <c r="N1929" s="729"/>
      <c r="O1929" s="729"/>
    </row>
    <row r="1930" spans="3:15">
      <c r="C1930" s="720">
        <f>IF(D1878="","-",+C1929+1)</f>
        <v>2062</v>
      </c>
      <c r="D1930" s="673">
        <f t="shared" si="124"/>
        <v>0</v>
      </c>
      <c r="E1930" s="726">
        <f t="shared" si="125"/>
        <v>0</v>
      </c>
      <c r="F1930" s="673">
        <f t="shared" si="120"/>
        <v>0</v>
      </c>
      <c r="G1930" s="1263">
        <f t="shared" si="121"/>
        <v>0</v>
      </c>
      <c r="H1930" s="1266">
        <f t="shared" si="122"/>
        <v>0</v>
      </c>
      <c r="I1930" s="724">
        <f t="shared" si="123"/>
        <v>0</v>
      </c>
      <c r="J1930" s="724"/>
      <c r="K1930" s="869"/>
      <c r="L1930" s="729"/>
      <c r="M1930" s="869"/>
      <c r="N1930" s="729"/>
      <c r="O1930" s="729"/>
    </row>
    <row r="1931" spans="3:15">
      <c r="C1931" s="720">
        <f>IF(D1878="","-",+C1930+1)</f>
        <v>2063</v>
      </c>
      <c r="D1931" s="673">
        <f t="shared" si="124"/>
        <v>0</v>
      </c>
      <c r="E1931" s="726">
        <f t="shared" si="125"/>
        <v>0</v>
      </c>
      <c r="F1931" s="673">
        <f t="shared" si="120"/>
        <v>0</v>
      </c>
      <c r="G1931" s="1263">
        <f t="shared" si="121"/>
        <v>0</v>
      </c>
      <c r="H1931" s="1266">
        <f t="shared" si="122"/>
        <v>0</v>
      </c>
      <c r="I1931" s="724">
        <f t="shared" si="123"/>
        <v>0</v>
      </c>
      <c r="J1931" s="724"/>
      <c r="K1931" s="869"/>
      <c r="L1931" s="729"/>
      <c r="M1931" s="869"/>
      <c r="N1931" s="729"/>
      <c r="O1931" s="729"/>
    </row>
    <row r="1932" spans="3:15">
      <c r="C1932" s="720">
        <f>IF(D1878="","-",+C1931+1)</f>
        <v>2064</v>
      </c>
      <c r="D1932" s="673">
        <f t="shared" si="124"/>
        <v>0</v>
      </c>
      <c r="E1932" s="726">
        <f t="shared" si="125"/>
        <v>0</v>
      </c>
      <c r="F1932" s="673">
        <f t="shared" si="120"/>
        <v>0</v>
      </c>
      <c r="G1932" s="1263">
        <f t="shared" si="121"/>
        <v>0</v>
      </c>
      <c r="H1932" s="1266">
        <f t="shared" si="122"/>
        <v>0</v>
      </c>
      <c r="I1932" s="724">
        <f t="shared" si="123"/>
        <v>0</v>
      </c>
      <c r="J1932" s="724"/>
      <c r="K1932" s="869"/>
      <c r="L1932" s="729"/>
      <c r="M1932" s="869"/>
      <c r="N1932" s="729"/>
      <c r="O1932" s="729"/>
    </row>
    <row r="1933" spans="3:15">
      <c r="C1933" s="720">
        <f>IF(D1878="","-",+C1932+1)</f>
        <v>2065</v>
      </c>
      <c r="D1933" s="673">
        <f t="shared" si="124"/>
        <v>0</v>
      </c>
      <c r="E1933" s="726">
        <f t="shared" si="125"/>
        <v>0</v>
      </c>
      <c r="F1933" s="673">
        <f t="shared" si="120"/>
        <v>0</v>
      </c>
      <c r="G1933" s="1263">
        <f t="shared" si="121"/>
        <v>0</v>
      </c>
      <c r="H1933" s="1266">
        <f t="shared" si="122"/>
        <v>0</v>
      </c>
      <c r="I1933" s="724">
        <f t="shared" si="123"/>
        <v>0</v>
      </c>
      <c r="J1933" s="724"/>
      <c r="K1933" s="869"/>
      <c r="L1933" s="729"/>
      <c r="M1933" s="869"/>
      <c r="N1933" s="729"/>
      <c r="O1933" s="729"/>
    </row>
    <row r="1934" spans="3:15">
      <c r="C1934" s="720">
        <f>IF(D1878="","-",+C1933+1)</f>
        <v>2066</v>
      </c>
      <c r="D1934" s="673">
        <f t="shared" si="124"/>
        <v>0</v>
      </c>
      <c r="E1934" s="726">
        <f t="shared" si="125"/>
        <v>0</v>
      </c>
      <c r="F1934" s="673">
        <f t="shared" si="120"/>
        <v>0</v>
      </c>
      <c r="G1934" s="1263">
        <f t="shared" si="121"/>
        <v>0</v>
      </c>
      <c r="H1934" s="1266">
        <f t="shared" si="122"/>
        <v>0</v>
      </c>
      <c r="I1934" s="724">
        <f t="shared" si="123"/>
        <v>0</v>
      </c>
      <c r="J1934" s="724"/>
      <c r="K1934" s="869"/>
      <c r="L1934" s="729"/>
      <c r="M1934" s="869"/>
      <c r="N1934" s="729"/>
      <c r="O1934" s="729"/>
    </row>
    <row r="1935" spans="3:15">
      <c r="C1935" s="720">
        <f>IF(D1878="","-",+C1934+1)</f>
        <v>2067</v>
      </c>
      <c r="D1935" s="673">
        <f t="shared" si="124"/>
        <v>0</v>
      </c>
      <c r="E1935" s="726">
        <f t="shared" si="125"/>
        <v>0</v>
      </c>
      <c r="F1935" s="673">
        <f t="shared" si="120"/>
        <v>0</v>
      </c>
      <c r="G1935" s="1263">
        <f t="shared" si="121"/>
        <v>0</v>
      </c>
      <c r="H1935" s="1266">
        <f t="shared" si="122"/>
        <v>0</v>
      </c>
      <c r="I1935" s="724">
        <f t="shared" si="123"/>
        <v>0</v>
      </c>
      <c r="J1935" s="724"/>
      <c r="K1935" s="869"/>
      <c r="L1935" s="729"/>
      <c r="M1935" s="869"/>
      <c r="N1935" s="729"/>
      <c r="O1935" s="729"/>
    </row>
    <row r="1936" spans="3:15">
      <c r="C1936" s="720">
        <f>IF(D1878="","-",+C1935+1)</f>
        <v>2068</v>
      </c>
      <c r="D1936" s="673">
        <f t="shared" si="124"/>
        <v>0</v>
      </c>
      <c r="E1936" s="726">
        <f t="shared" si="125"/>
        <v>0</v>
      </c>
      <c r="F1936" s="673">
        <f t="shared" si="120"/>
        <v>0</v>
      </c>
      <c r="G1936" s="1263">
        <f t="shared" si="121"/>
        <v>0</v>
      </c>
      <c r="H1936" s="1266">
        <f t="shared" si="122"/>
        <v>0</v>
      </c>
      <c r="I1936" s="724">
        <f t="shared" si="123"/>
        <v>0</v>
      </c>
      <c r="J1936" s="724"/>
      <c r="K1936" s="869"/>
      <c r="L1936" s="729"/>
      <c r="M1936" s="869"/>
      <c r="N1936" s="729"/>
      <c r="O1936" s="729"/>
    </row>
    <row r="1937" spans="3:15">
      <c r="C1937" s="720">
        <f>IF(D1878="","-",+C1936+1)</f>
        <v>2069</v>
      </c>
      <c r="D1937" s="673">
        <f t="shared" si="124"/>
        <v>0</v>
      </c>
      <c r="E1937" s="726">
        <f t="shared" si="125"/>
        <v>0</v>
      </c>
      <c r="F1937" s="673">
        <f t="shared" si="120"/>
        <v>0</v>
      </c>
      <c r="G1937" s="1263">
        <f t="shared" si="121"/>
        <v>0</v>
      </c>
      <c r="H1937" s="1266">
        <f t="shared" si="122"/>
        <v>0</v>
      </c>
      <c r="I1937" s="724">
        <f t="shared" si="123"/>
        <v>0</v>
      </c>
      <c r="J1937" s="724"/>
      <c r="K1937" s="869"/>
      <c r="L1937" s="729"/>
      <c r="M1937" s="869"/>
      <c r="N1937" s="729"/>
      <c r="O1937" s="729"/>
    </row>
    <row r="1938" spans="3:15">
      <c r="C1938" s="720">
        <f>IF(D1878="","-",+C1937+1)</f>
        <v>2070</v>
      </c>
      <c r="D1938" s="673">
        <f t="shared" si="124"/>
        <v>0</v>
      </c>
      <c r="E1938" s="726">
        <f t="shared" si="125"/>
        <v>0</v>
      </c>
      <c r="F1938" s="673">
        <f t="shared" si="120"/>
        <v>0</v>
      </c>
      <c r="G1938" s="1263">
        <f t="shared" si="121"/>
        <v>0</v>
      </c>
      <c r="H1938" s="1266">
        <f t="shared" si="122"/>
        <v>0</v>
      </c>
      <c r="I1938" s="724">
        <f t="shared" si="123"/>
        <v>0</v>
      </c>
      <c r="J1938" s="724"/>
      <c r="K1938" s="869"/>
      <c r="L1938" s="729"/>
      <c r="M1938" s="869"/>
      <c r="N1938" s="729"/>
      <c r="O1938" s="729"/>
    </row>
    <row r="1939" spans="3:15">
      <c r="C1939" s="720">
        <f>IF(D1878="","-",+C1938+1)</f>
        <v>2071</v>
      </c>
      <c r="D1939" s="673">
        <f t="shared" si="124"/>
        <v>0</v>
      </c>
      <c r="E1939" s="726">
        <f t="shared" si="125"/>
        <v>0</v>
      </c>
      <c r="F1939" s="673">
        <f t="shared" si="120"/>
        <v>0</v>
      </c>
      <c r="G1939" s="1263">
        <f t="shared" si="121"/>
        <v>0</v>
      </c>
      <c r="H1939" s="1266">
        <f t="shared" si="122"/>
        <v>0</v>
      </c>
      <c r="I1939" s="724">
        <f t="shared" si="123"/>
        <v>0</v>
      </c>
      <c r="J1939" s="724"/>
      <c r="K1939" s="869"/>
      <c r="L1939" s="729"/>
      <c r="M1939" s="869"/>
      <c r="N1939" s="729"/>
      <c r="O1939" s="729"/>
    </row>
    <row r="1940" spans="3:15">
      <c r="C1940" s="720">
        <f>IF(D1878="","-",+C1939+1)</f>
        <v>2072</v>
      </c>
      <c r="D1940" s="673">
        <f t="shared" si="124"/>
        <v>0</v>
      </c>
      <c r="E1940" s="726">
        <f t="shared" si="125"/>
        <v>0</v>
      </c>
      <c r="F1940" s="673">
        <f t="shared" si="120"/>
        <v>0</v>
      </c>
      <c r="G1940" s="1263">
        <f t="shared" si="121"/>
        <v>0</v>
      </c>
      <c r="H1940" s="1266">
        <f t="shared" si="122"/>
        <v>0</v>
      </c>
      <c r="I1940" s="724">
        <f t="shared" si="123"/>
        <v>0</v>
      </c>
      <c r="J1940" s="724"/>
      <c r="K1940" s="869"/>
      <c r="L1940" s="729"/>
      <c r="M1940" s="869"/>
      <c r="N1940" s="729"/>
      <c r="O1940" s="729"/>
    </row>
    <row r="1941" spans="3:15">
      <c r="C1941" s="720">
        <f>IF(D1878="","-",+C1940+1)</f>
        <v>2073</v>
      </c>
      <c r="D1941" s="673">
        <f t="shared" si="124"/>
        <v>0</v>
      </c>
      <c r="E1941" s="726">
        <f t="shared" si="125"/>
        <v>0</v>
      </c>
      <c r="F1941" s="673">
        <f t="shared" si="120"/>
        <v>0</v>
      </c>
      <c r="G1941" s="1263">
        <f t="shared" si="121"/>
        <v>0</v>
      </c>
      <c r="H1941" s="1266">
        <f t="shared" si="122"/>
        <v>0</v>
      </c>
      <c r="I1941" s="724">
        <f t="shared" si="123"/>
        <v>0</v>
      </c>
      <c r="J1941" s="724"/>
      <c r="K1941" s="869"/>
      <c r="L1941" s="729"/>
      <c r="M1941" s="869"/>
      <c r="N1941" s="729"/>
      <c r="O1941" s="729"/>
    </row>
    <row r="1942" spans="3:15">
      <c r="C1942" s="720">
        <f>IF(D1878="","-",+C1941+1)</f>
        <v>2074</v>
      </c>
      <c r="D1942" s="673">
        <f t="shared" si="124"/>
        <v>0</v>
      </c>
      <c r="E1942" s="726">
        <f t="shared" si="125"/>
        <v>0</v>
      </c>
      <c r="F1942" s="673">
        <f t="shared" si="120"/>
        <v>0</v>
      </c>
      <c r="G1942" s="1263">
        <f t="shared" si="121"/>
        <v>0</v>
      </c>
      <c r="H1942" s="1266">
        <f t="shared" si="122"/>
        <v>0</v>
      </c>
      <c r="I1942" s="724">
        <f t="shared" si="123"/>
        <v>0</v>
      </c>
      <c r="J1942" s="724"/>
      <c r="K1942" s="869"/>
      <c r="L1942" s="729"/>
      <c r="M1942" s="869"/>
      <c r="N1942" s="729"/>
      <c r="O1942" s="729"/>
    </row>
    <row r="1943" spans="3:15" ht="13.5" thickBot="1">
      <c r="C1943" s="730">
        <f>IF(D1878="","-",+C1942+1)</f>
        <v>2075</v>
      </c>
      <c r="D1943" s="731">
        <f t="shared" si="124"/>
        <v>0</v>
      </c>
      <c r="E1943" s="732">
        <f t="shared" si="125"/>
        <v>0</v>
      </c>
      <c r="F1943" s="731">
        <f t="shared" si="120"/>
        <v>0</v>
      </c>
      <c r="G1943" s="1274">
        <f t="shared" si="121"/>
        <v>0</v>
      </c>
      <c r="H1943" s="1274">
        <f t="shared" si="122"/>
        <v>0</v>
      </c>
      <c r="I1943" s="734">
        <f t="shared" si="123"/>
        <v>0</v>
      </c>
      <c r="J1943" s="724"/>
      <c r="K1943" s="870"/>
      <c r="L1943" s="736"/>
      <c r="M1943" s="870"/>
      <c r="N1943" s="736"/>
      <c r="O1943" s="736"/>
    </row>
    <row r="1944" spans="3:15">
      <c r="C1944" s="673" t="s">
        <v>288</v>
      </c>
      <c r="D1944" s="1242"/>
      <c r="E1944" s="673"/>
      <c r="F1944" s="1242"/>
      <c r="G1944" s="1242">
        <f>SUM(G1884:G1943)</f>
        <v>1077398.0483438219</v>
      </c>
      <c r="H1944" s="1242">
        <f>SUM(H1884:H1943)</f>
        <v>1077398.0483438219</v>
      </c>
      <c r="I1944" s="1242">
        <f>SUM(I1884:I1943)</f>
        <v>0</v>
      </c>
      <c r="J1944" s="1242"/>
      <c r="K1944" s="1242"/>
      <c r="L1944" s="1242"/>
      <c r="M1944" s="1242"/>
      <c r="N1944" s="1242"/>
      <c r="O1944" s="542"/>
    </row>
    <row r="1945" spans="3:15">
      <c r="D1945" s="563"/>
      <c r="E1945" s="542"/>
      <c r="F1945" s="542"/>
      <c r="G1945" s="542"/>
      <c r="H1945" s="1241"/>
      <c r="I1945" s="1241"/>
      <c r="J1945" s="1242"/>
      <c r="K1945" s="1241"/>
      <c r="L1945" s="1241"/>
      <c r="M1945" s="1241"/>
      <c r="N1945" s="1241"/>
      <c r="O1945" s="542"/>
    </row>
    <row r="1946" spans="3:15">
      <c r="C1946" s="542" t="s">
        <v>595</v>
      </c>
      <c r="D1946" s="563"/>
      <c r="E1946" s="542"/>
      <c r="F1946" s="542"/>
      <c r="G1946" s="542"/>
      <c r="H1946" s="1241"/>
      <c r="I1946" s="1241"/>
      <c r="J1946" s="1242"/>
      <c r="K1946" s="1241"/>
      <c r="L1946" s="1241"/>
      <c r="M1946" s="1241"/>
      <c r="N1946" s="1241"/>
      <c r="O1946" s="542"/>
    </row>
    <row r="1947" spans="3:15">
      <c r="C1947" s="542"/>
      <c r="D1947" s="563"/>
      <c r="E1947" s="542"/>
      <c r="F1947" s="542"/>
      <c r="G1947" s="542"/>
      <c r="H1947" s="1241"/>
      <c r="I1947" s="1241"/>
      <c r="J1947" s="1242"/>
      <c r="K1947" s="1241"/>
      <c r="L1947" s="1241"/>
      <c r="M1947" s="1241"/>
      <c r="N1947" s="1241"/>
      <c r="O1947" s="542"/>
    </row>
    <row r="1948" spans="3:15">
      <c r="C1948" s="684" t="s">
        <v>934</v>
      </c>
      <c r="D1948" s="673"/>
      <c r="E1948" s="673"/>
      <c r="F1948" s="673"/>
      <c r="G1948" s="1242"/>
      <c r="H1948" s="1242"/>
      <c r="I1948" s="674"/>
      <c r="J1948" s="674"/>
      <c r="K1948" s="674"/>
      <c r="L1948" s="674"/>
      <c r="M1948" s="674"/>
      <c r="N1948" s="674"/>
      <c r="O1948" s="542"/>
    </row>
    <row r="1949" spans="3:15">
      <c r="C1949" s="684" t="s">
        <v>476</v>
      </c>
      <c r="D1949" s="673"/>
      <c r="E1949" s="673"/>
      <c r="F1949" s="673"/>
      <c r="G1949" s="1242"/>
      <c r="H1949" s="1242"/>
      <c r="I1949" s="674"/>
      <c r="J1949" s="674"/>
      <c r="K1949" s="674"/>
      <c r="L1949" s="674"/>
      <c r="M1949" s="674"/>
      <c r="N1949" s="674"/>
      <c r="O1949" s="542"/>
    </row>
    <row r="1950" spans="3:15">
      <c r="C1950" s="672" t="s">
        <v>289</v>
      </c>
      <c r="D1950" s="673"/>
      <c r="E1950" s="673"/>
      <c r="F1950" s="673"/>
      <c r="G1950" s="1242"/>
      <c r="H1950" s="1242"/>
      <c r="I1950" s="674"/>
      <c r="J1950" s="674"/>
      <c r="K1950" s="674"/>
      <c r="L1950" s="674"/>
      <c r="M1950" s="674"/>
      <c r="N1950" s="674"/>
      <c r="O1950" s="542"/>
    </row>
    <row r="1951" spans="3:15">
      <c r="C1951" s="672"/>
      <c r="D1951" s="673"/>
      <c r="E1951" s="673"/>
      <c r="F1951" s="673"/>
      <c r="G1951" s="1242"/>
      <c r="H1951" s="1242"/>
      <c r="I1951" s="674"/>
      <c r="J1951" s="674"/>
      <c r="K1951" s="674"/>
      <c r="L1951" s="674"/>
      <c r="M1951" s="674"/>
      <c r="N1951" s="674"/>
      <c r="O1951" s="542"/>
    </row>
    <row r="1952" spans="3:15">
      <c r="C1952" s="1701" t="s">
        <v>460</v>
      </c>
      <c r="D1952" s="1701"/>
      <c r="E1952" s="1701"/>
      <c r="F1952" s="1701"/>
      <c r="G1952" s="1701"/>
      <c r="H1952" s="1701"/>
      <c r="I1952" s="1701"/>
      <c r="J1952" s="1701"/>
      <c r="K1952" s="1701"/>
      <c r="L1952" s="1701"/>
      <c r="M1952" s="1701"/>
      <c r="N1952" s="1701"/>
      <c r="O1952" s="1701"/>
    </row>
    <row r="1953" spans="1:16">
      <c r="C1953" s="1701"/>
      <c r="D1953" s="1701"/>
      <c r="E1953" s="1701"/>
      <c r="F1953" s="1701"/>
      <c r="G1953" s="1701"/>
      <c r="H1953" s="1701"/>
      <c r="I1953" s="1701"/>
      <c r="J1953" s="1701"/>
      <c r="K1953" s="1701"/>
      <c r="L1953" s="1701"/>
      <c r="M1953" s="1701"/>
      <c r="N1953" s="1701"/>
      <c r="O1953" s="1701"/>
    </row>
    <row r="1954" spans="1:16" ht="20.25">
      <c r="A1954" s="675" t="s">
        <v>931</v>
      </c>
      <c r="B1954" s="576"/>
      <c r="C1954" s="655"/>
      <c r="D1954" s="563"/>
      <c r="E1954" s="542"/>
      <c r="F1954" s="645"/>
      <c r="G1954" s="542"/>
      <c r="H1954" s="1241"/>
      <c r="K1954" s="676"/>
      <c r="L1954" s="676"/>
      <c r="M1954" s="676"/>
      <c r="N1954" s="591" t="str">
        <f>"Page "&amp;SUM(P$6:P1954)&amp;" of "</f>
        <v xml:space="preserve">Page 22 of </v>
      </c>
      <c r="O1954" s="592">
        <f>COUNT(P$6:P$59579)</f>
        <v>22</v>
      </c>
      <c r="P1954" s="542">
        <v>1</v>
      </c>
    </row>
    <row r="1955" spans="1:16">
      <c r="B1955" s="576"/>
      <c r="C1955" s="542"/>
      <c r="D1955" s="563"/>
      <c r="E1955" s="542"/>
      <c r="F1955" s="542"/>
      <c r="G1955" s="542"/>
      <c r="H1955" s="1241"/>
      <c r="I1955" s="542"/>
      <c r="J1955" s="588"/>
      <c r="K1955" s="542"/>
      <c r="L1955" s="542"/>
      <c r="M1955" s="542"/>
      <c r="N1955" s="542"/>
      <c r="O1955" s="542"/>
    </row>
    <row r="1956" spans="1:16" ht="18">
      <c r="B1956" s="595" t="s">
        <v>174</v>
      </c>
      <c r="C1956" s="677" t="s">
        <v>290</v>
      </c>
      <c r="D1956" s="563"/>
      <c r="E1956" s="542"/>
      <c r="F1956" s="542"/>
      <c r="G1956" s="542"/>
      <c r="H1956" s="1241"/>
      <c r="I1956" s="1241"/>
      <c r="J1956" s="1242"/>
      <c r="K1956" s="1241"/>
      <c r="L1956" s="1241"/>
      <c r="M1956" s="1241"/>
      <c r="N1956" s="1241"/>
      <c r="O1956" s="542"/>
    </row>
    <row r="1957" spans="1:16" ht="18.75">
      <c r="B1957" s="595"/>
      <c r="C1957" s="594"/>
      <c r="D1957" s="563"/>
      <c r="E1957" s="542"/>
      <c r="F1957" s="542"/>
      <c r="G1957" s="542"/>
      <c r="H1957" s="1241"/>
      <c r="I1957" s="1241"/>
      <c r="J1957" s="1242"/>
      <c r="K1957" s="1241"/>
      <c r="L1957" s="1241"/>
      <c r="M1957" s="1241"/>
      <c r="N1957" s="1241"/>
      <c r="O1957" s="542"/>
    </row>
    <row r="1958" spans="1:16" ht="18.75">
      <c r="B1958" s="595"/>
      <c r="C1958" s="594" t="s">
        <v>291</v>
      </c>
      <c r="D1958" s="563"/>
      <c r="E1958" s="542"/>
      <c r="F1958" s="542"/>
      <c r="G1958" s="542"/>
      <c r="H1958" s="1241"/>
      <c r="I1958" s="1241"/>
      <c r="J1958" s="1242"/>
      <c r="K1958" s="1241"/>
      <c r="L1958" s="1241"/>
      <c r="M1958" s="1241"/>
      <c r="N1958" s="1241"/>
      <c r="O1958" s="542"/>
    </row>
    <row r="1959" spans="1:16" ht="15.75" thickBot="1">
      <c r="C1959" s="396"/>
      <c r="D1959" s="563"/>
      <c r="E1959" s="542"/>
      <c r="F1959" s="542"/>
      <c r="G1959" s="542"/>
      <c r="H1959" s="1241"/>
      <c r="I1959" s="1241"/>
      <c r="J1959" s="1242"/>
      <c r="K1959" s="1241"/>
      <c r="L1959" s="1241"/>
      <c r="M1959" s="1241"/>
      <c r="N1959" s="1241"/>
      <c r="O1959" s="542"/>
    </row>
    <row r="1960" spans="1:16" ht="15.75">
      <c r="C1960" s="596" t="s">
        <v>292</v>
      </c>
      <c r="D1960" s="563"/>
      <c r="E1960" s="542"/>
      <c r="F1960" s="542"/>
      <c r="G1960" s="1276"/>
      <c r="H1960" s="542" t="s">
        <v>271</v>
      </c>
      <c r="I1960" s="542"/>
      <c r="J1960" s="588"/>
      <c r="K1960" s="678" t="s">
        <v>296</v>
      </c>
      <c r="L1960" s="679"/>
      <c r="M1960" s="680"/>
      <c r="N1960" s="1244">
        <f>VLOOKUP(I1966,C1973:O2032,5)</f>
        <v>1403.8597795504893</v>
      </c>
      <c r="O1960" s="542"/>
    </row>
    <row r="1961" spans="1:16" ht="15.75">
      <c r="C1961" s="596"/>
      <c r="D1961" s="563"/>
      <c r="E1961" s="542"/>
      <c r="F1961" s="542"/>
      <c r="G1961" s="542"/>
      <c r="H1961" s="1245"/>
      <c r="I1961" s="1245"/>
      <c r="J1961" s="1246"/>
      <c r="K1961" s="683" t="s">
        <v>297</v>
      </c>
      <c r="L1961" s="1247"/>
      <c r="M1961" s="588"/>
      <c r="N1961" s="1248">
        <f>VLOOKUP(I1966,C1973:O2032,6)</f>
        <v>1403.8597795504893</v>
      </c>
      <c r="O1961" s="542"/>
    </row>
    <row r="1962" spans="1:16" ht="15.75" thickBot="1">
      <c r="C1962" s="684" t="s">
        <v>293</v>
      </c>
      <c r="D1962" s="1290" t="s">
        <v>955</v>
      </c>
      <c r="E1962" s="1290"/>
      <c r="F1962" s="1290"/>
      <c r="G1962" s="1290"/>
      <c r="H1962" s="1245"/>
      <c r="I1962" s="1245"/>
      <c r="J1962" s="1242"/>
      <c r="K1962" s="1249" t="s">
        <v>450</v>
      </c>
      <c r="L1962" s="1250"/>
      <c r="M1962" s="1250"/>
      <c r="N1962" s="1251">
        <f>+N1961-N1960</f>
        <v>0</v>
      </c>
      <c r="O1962" s="542"/>
    </row>
    <row r="1963" spans="1:16">
      <c r="C1963" s="686"/>
      <c r="D1963" s="687"/>
      <c r="E1963" s="671"/>
      <c r="F1963" s="671"/>
      <c r="G1963" s="688"/>
      <c r="H1963" s="1241"/>
      <c r="I1963" s="1241"/>
      <c r="J1963" s="1242"/>
      <c r="K1963" s="1241"/>
      <c r="L1963" s="1241"/>
      <c r="M1963" s="1241"/>
      <c r="N1963" s="1241"/>
      <c r="O1963" s="542"/>
    </row>
    <row r="1964" spans="1:16" ht="13.5" thickBot="1">
      <c r="C1964" s="689"/>
      <c r="D1964" s="1252"/>
      <c r="E1964" s="688"/>
      <c r="F1964" s="688"/>
      <c r="G1964" s="688"/>
      <c r="H1964" s="688"/>
      <c r="I1964" s="688"/>
      <c r="J1964" s="691"/>
      <c r="K1964" s="688"/>
      <c r="L1964" s="688"/>
      <c r="M1964" s="688"/>
      <c r="N1964" s="688"/>
      <c r="O1964" s="576"/>
    </row>
    <row r="1965" spans="1:16" ht="13.5" thickBot="1">
      <c r="C1965" s="692" t="s">
        <v>294</v>
      </c>
      <c r="D1965" s="693"/>
      <c r="E1965" s="693"/>
      <c r="F1965" s="693"/>
      <c r="G1965" s="693"/>
      <c r="H1965" s="693"/>
      <c r="I1965" s="694"/>
      <c r="J1965" s="695"/>
      <c r="K1965" s="542"/>
      <c r="L1965" s="542"/>
      <c r="M1965" s="542"/>
      <c r="N1965" s="542"/>
      <c r="O1965" s="696"/>
    </row>
    <row r="1966" spans="1:16" ht="15">
      <c r="C1966" s="697" t="s">
        <v>272</v>
      </c>
      <c r="D1966" s="1253">
        <v>8640</v>
      </c>
      <c r="E1966" s="655" t="s">
        <v>273</v>
      </c>
      <c r="G1966" s="698"/>
      <c r="H1966" s="698"/>
      <c r="I1966" s="699">
        <v>2018</v>
      </c>
      <c r="J1966" s="586"/>
      <c r="K1966" s="1702" t="s">
        <v>459</v>
      </c>
      <c r="L1966" s="1702"/>
      <c r="M1966" s="1702"/>
      <c r="N1966" s="1702"/>
      <c r="O1966" s="1702"/>
    </row>
    <row r="1967" spans="1:16">
      <c r="C1967" s="697" t="s">
        <v>275</v>
      </c>
      <c r="D1967" s="865">
        <v>2014</v>
      </c>
      <c r="E1967" s="697" t="s">
        <v>276</v>
      </c>
      <c r="F1967" s="698"/>
      <c r="H1967" s="330"/>
      <c r="I1967" s="1254">
        <f>IF(G1960="",0,$F$15)</f>
        <v>0</v>
      </c>
      <c r="J1967" s="700"/>
      <c r="K1967" s="1242" t="s">
        <v>459</v>
      </c>
    </row>
    <row r="1968" spans="1:16">
      <c r="C1968" s="697" t="s">
        <v>277</v>
      </c>
      <c r="D1968" s="1253">
        <v>7</v>
      </c>
      <c r="E1968" s="697" t="s">
        <v>278</v>
      </c>
      <c r="F1968" s="698"/>
      <c r="H1968" s="330"/>
      <c r="I1968" s="701">
        <f>$G$70</f>
        <v>0.15341253840442806</v>
      </c>
      <c r="J1968" s="702"/>
      <c r="K1968" s="330" t="str">
        <f>"          INPUT PROJECTED ARR (WITH &amp; WITHOUT INCENTIVES) FROM EACH PRIOR YEAR"</f>
        <v xml:space="preserve">          INPUT PROJECTED ARR (WITH &amp; WITHOUT INCENTIVES) FROM EACH PRIOR YEAR</v>
      </c>
    </row>
    <row r="1969" spans="1:15">
      <c r="C1969" s="697" t="s">
        <v>279</v>
      </c>
      <c r="D1969" s="703">
        <f>G$79</f>
        <v>44</v>
      </c>
      <c r="E1969" s="697" t="s">
        <v>280</v>
      </c>
      <c r="F1969" s="698"/>
      <c r="H1969" s="330"/>
      <c r="I1969" s="701">
        <f>IF(G1960="",I1968,$G$67)</f>
        <v>0.15341253840442806</v>
      </c>
      <c r="J1969" s="704"/>
      <c r="K1969" s="330" t="s">
        <v>357</v>
      </c>
    </row>
    <row r="1970" spans="1:15" ht="13.5" thickBot="1">
      <c r="C1970" s="697" t="s">
        <v>281</v>
      </c>
      <c r="D1970" s="866" t="s">
        <v>933</v>
      </c>
      <c r="E1970" s="705" t="s">
        <v>282</v>
      </c>
      <c r="F1970" s="706"/>
      <c r="G1970" s="707"/>
      <c r="H1970" s="707"/>
      <c r="I1970" s="1251">
        <f>IF(D1966=0,0,D1966/D1969)</f>
        <v>196.36363636363637</v>
      </c>
      <c r="J1970" s="1242"/>
      <c r="K1970" s="1242" t="s">
        <v>363</v>
      </c>
      <c r="L1970" s="1242"/>
      <c r="M1970" s="1242"/>
      <c r="N1970" s="1242"/>
      <c r="O1970" s="588"/>
    </row>
    <row r="1971" spans="1:15" ht="51">
      <c r="A1971" s="529"/>
      <c r="B1971" s="1255"/>
      <c r="C1971" s="708" t="s">
        <v>272</v>
      </c>
      <c r="D1971" s="1256" t="s">
        <v>283</v>
      </c>
      <c r="E1971" s="1257" t="s">
        <v>284</v>
      </c>
      <c r="F1971" s="1256" t="s">
        <v>285</v>
      </c>
      <c r="G1971" s="1257" t="s">
        <v>356</v>
      </c>
      <c r="H1971" s="1258" t="s">
        <v>356</v>
      </c>
      <c r="I1971" s="708" t="s">
        <v>295</v>
      </c>
      <c r="J1971" s="712"/>
      <c r="K1971" s="1257" t="s">
        <v>365</v>
      </c>
      <c r="L1971" s="1259"/>
      <c r="M1971" s="1257" t="s">
        <v>365</v>
      </c>
      <c r="N1971" s="1259"/>
      <c r="O1971" s="1259"/>
    </row>
    <row r="1972" spans="1:15" ht="13.5" thickBot="1">
      <c r="C1972" s="714" t="s">
        <v>177</v>
      </c>
      <c r="D1972" s="715" t="s">
        <v>178</v>
      </c>
      <c r="E1972" s="714" t="s">
        <v>37</v>
      </c>
      <c r="F1972" s="715" t="s">
        <v>178</v>
      </c>
      <c r="G1972" s="1260" t="s">
        <v>298</v>
      </c>
      <c r="H1972" s="1261" t="s">
        <v>300</v>
      </c>
      <c r="I1972" s="718" t="s">
        <v>389</v>
      </c>
      <c r="J1972" s="719"/>
      <c r="K1972" s="1260" t="s">
        <v>287</v>
      </c>
      <c r="L1972" s="1262"/>
      <c r="M1972" s="1260" t="s">
        <v>300</v>
      </c>
      <c r="N1972" s="1262"/>
      <c r="O1972" s="1262"/>
    </row>
    <row r="1973" spans="1:15">
      <c r="C1973" s="720">
        <f>IF(D1967= "","-",D1967)</f>
        <v>2014</v>
      </c>
      <c r="D1973" s="673">
        <f>+D1966</f>
        <v>8640</v>
      </c>
      <c r="E1973" s="1263">
        <f>+I1970/12*(12-D1968)</f>
        <v>81.818181818181813</v>
      </c>
      <c r="F1973" s="673">
        <f t="shared" ref="F1973:F2032" si="126">+D1973-E1973</f>
        <v>8558.181818181818</v>
      </c>
      <c r="G1973" s="1288">
        <f>+$I$1879*((D1973+F1973)/2)+E1973</f>
        <v>1401.026546152259</v>
      </c>
      <c r="H1973" s="1289">
        <f>$I$1880*((D1973+F1973)/2)+E1973</f>
        <v>1401.026546152259</v>
      </c>
      <c r="I1973" s="724">
        <f>+H1973-G1973</f>
        <v>0</v>
      </c>
      <c r="J1973" s="724"/>
      <c r="K1973" s="868">
        <v>0</v>
      </c>
      <c r="L1973" s="725"/>
      <c r="M1973" s="868">
        <v>0</v>
      </c>
      <c r="N1973" s="725"/>
      <c r="O1973" s="725"/>
    </row>
    <row r="1974" spans="1:15">
      <c r="C1974" s="720">
        <f>IF(D1967="","-",+C1973+1)</f>
        <v>2015</v>
      </c>
      <c r="D1974" s="673">
        <f>F1973</f>
        <v>8558.181818181818</v>
      </c>
      <c r="E1974" s="726">
        <f>IF(D1974&gt;$I$1970,$I$1970,D1974)</f>
        <v>196.36363636363637</v>
      </c>
      <c r="F1974" s="673">
        <f t="shared" si="126"/>
        <v>8361.818181818182</v>
      </c>
      <c r="G1974" s="1263">
        <f t="shared" ref="G1974:G2032" si="127">+$I$1879*((D1974+F1974)/2)+E1974</f>
        <v>1494.2337112650976</v>
      </c>
      <c r="H1974" s="1266">
        <f t="shared" ref="H1974:H2032" si="128">$I$1880*((D1974+F1974)/2)+E1974</f>
        <v>1494.2337112650976</v>
      </c>
      <c r="I1974" s="724">
        <f t="shared" ref="I1974:I2032" si="129">+H1974-G1974</f>
        <v>0</v>
      </c>
      <c r="J1974" s="724"/>
      <c r="K1974" s="869">
        <v>0</v>
      </c>
      <c r="L1974" s="729"/>
      <c r="M1974" s="869">
        <v>0</v>
      </c>
      <c r="N1974" s="729"/>
      <c r="O1974" s="729"/>
    </row>
    <row r="1975" spans="1:15">
      <c r="C1975" s="1291">
        <f>IF(D1967="","-",+C1974+1)</f>
        <v>2016</v>
      </c>
      <c r="D1975" s="1269">
        <f t="shared" ref="D1975:D2032" si="130">F1974</f>
        <v>8361.818181818182</v>
      </c>
      <c r="E1975" s="726">
        <f t="shared" ref="E1975:E2031" si="131">IF(D1975&gt;$I$1970,$I$1970,D1975)</f>
        <v>196.36363636363637</v>
      </c>
      <c r="F1975" s="1269">
        <f t="shared" si="126"/>
        <v>8165.454545454546</v>
      </c>
      <c r="G1975" s="1271">
        <f t="shared" si="127"/>
        <v>1464.1090673602284</v>
      </c>
      <c r="H1975" s="1272">
        <f t="shared" si="128"/>
        <v>1464.1090673602284</v>
      </c>
      <c r="I1975" s="1273">
        <f t="shared" si="129"/>
        <v>0</v>
      </c>
      <c r="J1975" s="724"/>
      <c r="K1975" s="869"/>
      <c r="L1975" s="729"/>
      <c r="M1975" s="869"/>
      <c r="N1975" s="729"/>
      <c r="O1975" s="729"/>
    </row>
    <row r="1976" spans="1:15">
      <c r="C1976" s="720">
        <f>IF(D1967="","-",+C1975+1)</f>
        <v>2017</v>
      </c>
      <c r="D1976" s="673">
        <f t="shared" si="130"/>
        <v>8165.454545454546</v>
      </c>
      <c r="E1976" s="726">
        <f t="shared" si="131"/>
        <v>196.36363636363637</v>
      </c>
      <c r="F1976" s="673">
        <f t="shared" si="126"/>
        <v>7969.0909090909099</v>
      </c>
      <c r="G1976" s="1263">
        <f t="shared" si="127"/>
        <v>1433.9844234553589</v>
      </c>
      <c r="H1976" s="1266">
        <f t="shared" si="128"/>
        <v>1433.9844234553589</v>
      </c>
      <c r="I1976" s="724">
        <f t="shared" si="129"/>
        <v>0</v>
      </c>
      <c r="J1976" s="724"/>
      <c r="K1976" s="869"/>
      <c r="L1976" s="729"/>
      <c r="M1976" s="869"/>
      <c r="N1976" s="729"/>
      <c r="O1976" s="729"/>
    </row>
    <row r="1977" spans="1:15">
      <c r="C1977" s="720">
        <f>IF(D1967="","-",+C1976+1)</f>
        <v>2018</v>
      </c>
      <c r="D1977" s="673">
        <f t="shared" si="130"/>
        <v>7969.0909090909099</v>
      </c>
      <c r="E1977" s="726">
        <f t="shared" si="131"/>
        <v>196.36363636363637</v>
      </c>
      <c r="F1977" s="673">
        <f t="shared" si="126"/>
        <v>7772.7272727272739</v>
      </c>
      <c r="G1977" s="1263">
        <f t="shared" si="127"/>
        <v>1403.8597795504893</v>
      </c>
      <c r="H1977" s="1266">
        <f t="shared" si="128"/>
        <v>1403.8597795504893</v>
      </c>
      <c r="I1977" s="724">
        <f t="shared" si="129"/>
        <v>0</v>
      </c>
      <c r="J1977" s="724"/>
      <c r="K1977" s="869"/>
      <c r="L1977" s="729"/>
      <c r="M1977" s="869"/>
      <c r="N1977" s="729"/>
      <c r="O1977" s="729"/>
    </row>
    <row r="1978" spans="1:15">
      <c r="C1978" s="720">
        <f>IF(D1967="","-",+C1977+1)</f>
        <v>2019</v>
      </c>
      <c r="D1978" s="673">
        <f t="shared" si="130"/>
        <v>7772.7272727272739</v>
      </c>
      <c r="E1978" s="726">
        <f t="shared" si="131"/>
        <v>196.36363636363637</v>
      </c>
      <c r="F1978" s="673">
        <f t="shared" si="126"/>
        <v>7576.3636363636379</v>
      </c>
      <c r="G1978" s="1263">
        <f t="shared" si="127"/>
        <v>1373.7351356456197</v>
      </c>
      <c r="H1978" s="1266">
        <f t="shared" si="128"/>
        <v>1373.7351356456197</v>
      </c>
      <c r="I1978" s="724">
        <f t="shared" si="129"/>
        <v>0</v>
      </c>
      <c r="J1978" s="724"/>
      <c r="K1978" s="869"/>
      <c r="L1978" s="729"/>
      <c r="M1978" s="869"/>
      <c r="N1978" s="729"/>
      <c r="O1978" s="729"/>
    </row>
    <row r="1979" spans="1:15">
      <c r="C1979" s="720">
        <f>IF(D1967="","-",+C1978+1)</f>
        <v>2020</v>
      </c>
      <c r="D1979" s="673">
        <f t="shared" si="130"/>
        <v>7576.3636363636379</v>
      </c>
      <c r="E1979" s="726">
        <f t="shared" si="131"/>
        <v>196.36363636363637</v>
      </c>
      <c r="F1979" s="673">
        <f t="shared" si="126"/>
        <v>7380.0000000000018</v>
      </c>
      <c r="G1979" s="1263">
        <f t="shared" si="127"/>
        <v>1343.6104917407506</v>
      </c>
      <c r="H1979" s="1266">
        <f t="shared" si="128"/>
        <v>1343.6104917407506</v>
      </c>
      <c r="I1979" s="724">
        <f t="shared" si="129"/>
        <v>0</v>
      </c>
      <c r="J1979" s="724"/>
      <c r="K1979" s="869"/>
      <c r="L1979" s="729"/>
      <c r="M1979" s="869"/>
      <c r="N1979" s="729"/>
      <c r="O1979" s="729"/>
    </row>
    <row r="1980" spans="1:15">
      <c r="C1980" s="720">
        <f>IF(D1967="","-",+C1979+1)</f>
        <v>2021</v>
      </c>
      <c r="D1980" s="673">
        <f t="shared" si="130"/>
        <v>7380.0000000000018</v>
      </c>
      <c r="E1980" s="726">
        <f t="shared" si="131"/>
        <v>196.36363636363637</v>
      </c>
      <c r="F1980" s="673">
        <f t="shared" si="126"/>
        <v>7183.6363636363658</v>
      </c>
      <c r="G1980" s="1263">
        <f t="shared" si="127"/>
        <v>1313.485847835881</v>
      </c>
      <c r="H1980" s="1266">
        <f t="shared" si="128"/>
        <v>1313.485847835881</v>
      </c>
      <c r="I1980" s="724">
        <f t="shared" si="129"/>
        <v>0</v>
      </c>
      <c r="J1980" s="724"/>
      <c r="K1980" s="869"/>
      <c r="L1980" s="729"/>
      <c r="M1980" s="869"/>
      <c r="N1980" s="729"/>
      <c r="O1980" s="729"/>
    </row>
    <row r="1981" spans="1:15">
      <c r="C1981" s="720">
        <f>IF(D1967="","-",+C1980+1)</f>
        <v>2022</v>
      </c>
      <c r="D1981" s="673">
        <f t="shared" si="130"/>
        <v>7183.6363636363658</v>
      </c>
      <c r="E1981" s="726">
        <f t="shared" si="131"/>
        <v>196.36363636363637</v>
      </c>
      <c r="F1981" s="673">
        <f t="shared" si="126"/>
        <v>6987.2727272727298</v>
      </c>
      <c r="G1981" s="1263">
        <f t="shared" si="127"/>
        <v>1283.3612039310115</v>
      </c>
      <c r="H1981" s="1266">
        <f t="shared" si="128"/>
        <v>1283.3612039310115</v>
      </c>
      <c r="I1981" s="724">
        <f t="shared" si="129"/>
        <v>0</v>
      </c>
      <c r="J1981" s="724"/>
      <c r="K1981" s="869"/>
      <c r="L1981" s="729"/>
      <c r="M1981" s="869"/>
      <c r="N1981" s="729"/>
      <c r="O1981" s="729"/>
    </row>
    <row r="1982" spans="1:15">
      <c r="C1982" s="720">
        <f>IF(D1967="","-",+C1981+1)</f>
        <v>2023</v>
      </c>
      <c r="D1982" s="673">
        <f t="shared" si="130"/>
        <v>6987.2727272727298</v>
      </c>
      <c r="E1982" s="726">
        <f t="shared" si="131"/>
        <v>196.36363636363637</v>
      </c>
      <c r="F1982" s="673">
        <f t="shared" si="126"/>
        <v>6790.9090909090937</v>
      </c>
      <c r="G1982" s="1263">
        <f t="shared" si="127"/>
        <v>1253.2365600261419</v>
      </c>
      <c r="H1982" s="1266">
        <f t="shared" si="128"/>
        <v>1253.2365600261419</v>
      </c>
      <c r="I1982" s="724">
        <f t="shared" si="129"/>
        <v>0</v>
      </c>
      <c r="J1982" s="724"/>
      <c r="K1982" s="869"/>
      <c r="L1982" s="729"/>
      <c r="M1982" s="869"/>
      <c r="N1982" s="729"/>
      <c r="O1982" s="729"/>
    </row>
    <row r="1983" spans="1:15">
      <c r="C1983" s="720">
        <f>IF(D1967="","-",+C1982+1)</f>
        <v>2024</v>
      </c>
      <c r="D1983" s="673">
        <f t="shared" si="130"/>
        <v>6790.9090909090937</v>
      </c>
      <c r="E1983" s="726">
        <f t="shared" si="131"/>
        <v>196.36363636363637</v>
      </c>
      <c r="F1983" s="673">
        <f t="shared" si="126"/>
        <v>6594.5454545454577</v>
      </c>
      <c r="G1983" s="1263">
        <f t="shared" si="127"/>
        <v>1223.1119161212728</v>
      </c>
      <c r="H1983" s="1266">
        <f t="shared" si="128"/>
        <v>1223.1119161212728</v>
      </c>
      <c r="I1983" s="724">
        <f t="shared" si="129"/>
        <v>0</v>
      </c>
      <c r="J1983" s="724"/>
      <c r="K1983" s="869"/>
      <c r="L1983" s="729"/>
      <c r="M1983" s="869"/>
      <c r="N1983" s="729"/>
      <c r="O1983" s="729"/>
    </row>
    <row r="1984" spans="1:15">
      <c r="C1984" s="720">
        <f>IF(D1967="","-",+C1983+1)</f>
        <v>2025</v>
      </c>
      <c r="D1984" s="673">
        <f t="shared" si="130"/>
        <v>6594.5454545454577</v>
      </c>
      <c r="E1984" s="726">
        <f t="shared" si="131"/>
        <v>196.36363636363637</v>
      </c>
      <c r="F1984" s="673">
        <f t="shared" si="126"/>
        <v>6398.1818181818217</v>
      </c>
      <c r="G1984" s="1263">
        <f t="shared" si="127"/>
        <v>1192.9872722164032</v>
      </c>
      <c r="H1984" s="1266">
        <f t="shared" si="128"/>
        <v>1192.9872722164032</v>
      </c>
      <c r="I1984" s="724">
        <f t="shared" si="129"/>
        <v>0</v>
      </c>
      <c r="J1984" s="724"/>
      <c r="K1984" s="869"/>
      <c r="L1984" s="729"/>
      <c r="M1984" s="869"/>
      <c r="N1984" s="729"/>
      <c r="O1984" s="729"/>
    </row>
    <row r="1985" spans="3:15">
      <c r="C1985" s="720">
        <f>IF(D1967="","-",+C1984+1)</f>
        <v>2026</v>
      </c>
      <c r="D1985" s="673">
        <f t="shared" si="130"/>
        <v>6398.1818181818217</v>
      </c>
      <c r="E1985" s="726">
        <f t="shared" si="131"/>
        <v>196.36363636363637</v>
      </c>
      <c r="F1985" s="673">
        <f t="shared" si="126"/>
        <v>6201.8181818181856</v>
      </c>
      <c r="G1985" s="1263">
        <f t="shared" si="127"/>
        <v>1162.8626283115336</v>
      </c>
      <c r="H1985" s="1266">
        <f t="shared" si="128"/>
        <v>1162.8626283115336</v>
      </c>
      <c r="I1985" s="724">
        <f t="shared" si="129"/>
        <v>0</v>
      </c>
      <c r="J1985" s="724"/>
      <c r="K1985" s="869"/>
      <c r="L1985" s="729"/>
      <c r="M1985" s="869"/>
      <c r="N1985" s="729"/>
      <c r="O1985" s="729"/>
    </row>
    <row r="1986" spans="3:15">
      <c r="C1986" s="720">
        <f>IF(D1967="","-",+C1985+1)</f>
        <v>2027</v>
      </c>
      <c r="D1986" s="673">
        <f t="shared" si="130"/>
        <v>6201.8181818181856</v>
      </c>
      <c r="E1986" s="726">
        <f t="shared" si="131"/>
        <v>196.36363636363637</v>
      </c>
      <c r="F1986" s="673">
        <f t="shared" si="126"/>
        <v>6005.4545454545496</v>
      </c>
      <c r="G1986" s="1263">
        <f t="shared" si="127"/>
        <v>1132.7379844066643</v>
      </c>
      <c r="H1986" s="1266">
        <f t="shared" si="128"/>
        <v>1132.7379844066643</v>
      </c>
      <c r="I1986" s="724">
        <f t="shared" si="129"/>
        <v>0</v>
      </c>
      <c r="J1986" s="724"/>
      <c r="K1986" s="869"/>
      <c r="L1986" s="729"/>
      <c r="M1986" s="869"/>
      <c r="N1986" s="729"/>
      <c r="O1986" s="729"/>
    </row>
    <row r="1987" spans="3:15">
      <c r="C1987" s="720">
        <f>IF(D1967="","-",+C1986+1)</f>
        <v>2028</v>
      </c>
      <c r="D1987" s="673">
        <f t="shared" si="130"/>
        <v>6005.4545454545496</v>
      </c>
      <c r="E1987" s="726">
        <f t="shared" si="131"/>
        <v>196.36363636363637</v>
      </c>
      <c r="F1987" s="673">
        <f t="shared" si="126"/>
        <v>5809.0909090909136</v>
      </c>
      <c r="G1987" s="1263">
        <f t="shared" si="127"/>
        <v>1102.6133405017949</v>
      </c>
      <c r="H1987" s="1266">
        <f t="shared" si="128"/>
        <v>1102.6133405017949</v>
      </c>
      <c r="I1987" s="724">
        <f t="shared" si="129"/>
        <v>0</v>
      </c>
      <c r="J1987" s="724"/>
      <c r="K1987" s="869"/>
      <c r="L1987" s="729"/>
      <c r="M1987" s="869"/>
      <c r="N1987" s="729"/>
      <c r="O1987" s="729"/>
    </row>
    <row r="1988" spans="3:15">
      <c r="C1988" s="720">
        <f>IF(D1967="","-",+C1987+1)</f>
        <v>2029</v>
      </c>
      <c r="D1988" s="673">
        <f t="shared" si="130"/>
        <v>5809.0909090909136</v>
      </c>
      <c r="E1988" s="726">
        <f t="shared" si="131"/>
        <v>196.36363636363637</v>
      </c>
      <c r="F1988" s="673">
        <f t="shared" si="126"/>
        <v>5612.7272727272775</v>
      </c>
      <c r="G1988" s="1263">
        <f t="shared" si="127"/>
        <v>1072.4886965969254</v>
      </c>
      <c r="H1988" s="1266">
        <f t="shared" si="128"/>
        <v>1072.4886965969254</v>
      </c>
      <c r="I1988" s="724">
        <f t="shared" si="129"/>
        <v>0</v>
      </c>
      <c r="J1988" s="724"/>
      <c r="K1988" s="869"/>
      <c r="L1988" s="729"/>
      <c r="M1988" s="869"/>
      <c r="N1988" s="729"/>
      <c r="O1988" s="729"/>
    </row>
    <row r="1989" spans="3:15">
      <c r="C1989" s="720">
        <f>IF(D1967="","-",+C1988+1)</f>
        <v>2030</v>
      </c>
      <c r="D1989" s="673">
        <f t="shared" si="130"/>
        <v>5612.7272727272775</v>
      </c>
      <c r="E1989" s="726">
        <f t="shared" si="131"/>
        <v>196.36363636363637</v>
      </c>
      <c r="F1989" s="673">
        <f t="shared" si="126"/>
        <v>5416.3636363636415</v>
      </c>
      <c r="G1989" s="1263">
        <f t="shared" si="127"/>
        <v>1042.3640526920558</v>
      </c>
      <c r="H1989" s="1266">
        <f t="shared" si="128"/>
        <v>1042.3640526920558</v>
      </c>
      <c r="I1989" s="724">
        <f t="shared" si="129"/>
        <v>0</v>
      </c>
      <c r="J1989" s="724"/>
      <c r="K1989" s="869"/>
      <c r="L1989" s="729"/>
      <c r="M1989" s="869"/>
      <c r="N1989" s="729"/>
      <c r="O1989" s="729"/>
    </row>
    <row r="1990" spans="3:15">
      <c r="C1990" s="720">
        <f>IF(D1967="","-",+C1989+1)</f>
        <v>2031</v>
      </c>
      <c r="D1990" s="673">
        <f t="shared" si="130"/>
        <v>5416.3636363636415</v>
      </c>
      <c r="E1990" s="726">
        <f t="shared" si="131"/>
        <v>196.36363636363637</v>
      </c>
      <c r="F1990" s="673">
        <f t="shared" si="126"/>
        <v>5220.0000000000055</v>
      </c>
      <c r="G1990" s="1263">
        <f t="shared" si="127"/>
        <v>1012.2394087871864</v>
      </c>
      <c r="H1990" s="1266">
        <f t="shared" si="128"/>
        <v>1012.2394087871864</v>
      </c>
      <c r="I1990" s="724">
        <f t="shared" si="129"/>
        <v>0</v>
      </c>
      <c r="J1990" s="724"/>
      <c r="K1990" s="869"/>
      <c r="L1990" s="729"/>
      <c r="M1990" s="869"/>
      <c r="N1990" s="729"/>
      <c r="O1990" s="729"/>
    </row>
    <row r="1991" spans="3:15">
      <c r="C1991" s="720">
        <f>IF(D1967="","-",+C1990+1)</f>
        <v>2032</v>
      </c>
      <c r="D1991" s="673">
        <f t="shared" si="130"/>
        <v>5220.0000000000055</v>
      </c>
      <c r="E1991" s="726">
        <f t="shared" si="131"/>
        <v>196.36363636363637</v>
      </c>
      <c r="F1991" s="673">
        <f t="shared" si="126"/>
        <v>5023.6363636363694</v>
      </c>
      <c r="G1991" s="1263">
        <f t="shared" si="127"/>
        <v>982.11476488231699</v>
      </c>
      <c r="H1991" s="1266">
        <f t="shared" si="128"/>
        <v>982.11476488231699</v>
      </c>
      <c r="I1991" s="724">
        <f t="shared" si="129"/>
        <v>0</v>
      </c>
      <c r="J1991" s="724"/>
      <c r="K1991" s="869"/>
      <c r="L1991" s="729"/>
      <c r="M1991" s="869"/>
      <c r="N1991" s="729"/>
      <c r="O1991" s="729"/>
    </row>
    <row r="1992" spans="3:15">
      <c r="C1992" s="720">
        <f>IF(D1967="","-",+C1991+1)</f>
        <v>2033</v>
      </c>
      <c r="D1992" s="673">
        <f t="shared" si="130"/>
        <v>5023.6363636363694</v>
      </c>
      <c r="E1992" s="726">
        <f t="shared" si="131"/>
        <v>196.36363636363637</v>
      </c>
      <c r="F1992" s="673">
        <f t="shared" si="126"/>
        <v>4827.2727272727334</v>
      </c>
      <c r="G1992" s="1263">
        <f t="shared" si="127"/>
        <v>951.99012097744753</v>
      </c>
      <c r="H1992" s="1266">
        <f t="shared" si="128"/>
        <v>951.99012097744753</v>
      </c>
      <c r="I1992" s="724">
        <f t="shared" si="129"/>
        <v>0</v>
      </c>
      <c r="J1992" s="724"/>
      <c r="K1992" s="869"/>
      <c r="L1992" s="729"/>
      <c r="M1992" s="869"/>
      <c r="N1992" s="729"/>
      <c r="O1992" s="729"/>
    </row>
    <row r="1993" spans="3:15">
      <c r="C1993" s="720">
        <f>IF(D1967="","-",+C1992+1)</f>
        <v>2034</v>
      </c>
      <c r="D1993" s="673">
        <f t="shared" si="130"/>
        <v>4827.2727272727334</v>
      </c>
      <c r="E1993" s="726">
        <f t="shared" si="131"/>
        <v>196.36363636363637</v>
      </c>
      <c r="F1993" s="673">
        <f t="shared" si="126"/>
        <v>4630.9090909090974</v>
      </c>
      <c r="G1993" s="1263">
        <f t="shared" si="127"/>
        <v>921.86547707257807</v>
      </c>
      <c r="H1993" s="1266">
        <f t="shared" si="128"/>
        <v>921.86547707257807</v>
      </c>
      <c r="I1993" s="724">
        <f t="shared" si="129"/>
        <v>0</v>
      </c>
      <c r="J1993" s="724"/>
      <c r="K1993" s="869"/>
      <c r="L1993" s="729"/>
      <c r="M1993" s="869"/>
      <c r="N1993" s="729"/>
      <c r="O1993" s="729"/>
    </row>
    <row r="1994" spans="3:15">
      <c r="C1994" s="720">
        <f>IF(D1967="","-",+C1993+1)</f>
        <v>2035</v>
      </c>
      <c r="D1994" s="673">
        <f t="shared" si="130"/>
        <v>4630.9090909090974</v>
      </c>
      <c r="E1994" s="726">
        <f t="shared" si="131"/>
        <v>196.36363636363637</v>
      </c>
      <c r="F1994" s="673">
        <f t="shared" si="126"/>
        <v>4434.5454545454613</v>
      </c>
      <c r="G1994" s="1263">
        <f t="shared" si="127"/>
        <v>891.74083316770862</v>
      </c>
      <c r="H1994" s="1266">
        <f t="shared" si="128"/>
        <v>891.74083316770862</v>
      </c>
      <c r="I1994" s="724">
        <f t="shared" si="129"/>
        <v>0</v>
      </c>
      <c r="J1994" s="724"/>
      <c r="K1994" s="869"/>
      <c r="L1994" s="729"/>
      <c r="M1994" s="869"/>
      <c r="N1994" s="729"/>
      <c r="O1994" s="729"/>
    </row>
    <row r="1995" spans="3:15">
      <c r="C1995" s="720">
        <f>IF(D1967="","-",+C1994+1)</f>
        <v>2036</v>
      </c>
      <c r="D1995" s="673">
        <f t="shared" si="130"/>
        <v>4434.5454545454613</v>
      </c>
      <c r="E1995" s="726">
        <f t="shared" si="131"/>
        <v>196.36363636363637</v>
      </c>
      <c r="F1995" s="673">
        <f t="shared" si="126"/>
        <v>4238.1818181818253</v>
      </c>
      <c r="G1995" s="1263">
        <f t="shared" si="127"/>
        <v>861.61618926283916</v>
      </c>
      <c r="H1995" s="1266">
        <f t="shared" si="128"/>
        <v>861.61618926283916</v>
      </c>
      <c r="I1995" s="724">
        <f t="shared" si="129"/>
        <v>0</v>
      </c>
      <c r="J1995" s="724"/>
      <c r="K1995" s="869"/>
      <c r="L1995" s="729"/>
      <c r="M1995" s="869"/>
      <c r="N1995" s="729"/>
      <c r="O1995" s="729"/>
    </row>
    <row r="1996" spans="3:15">
      <c r="C1996" s="720">
        <f>IF(D1967="","-",+C1995+1)</f>
        <v>2037</v>
      </c>
      <c r="D1996" s="673">
        <f t="shared" si="130"/>
        <v>4238.1818181818253</v>
      </c>
      <c r="E1996" s="726">
        <f t="shared" si="131"/>
        <v>196.36363636363637</v>
      </c>
      <c r="F1996" s="673">
        <f t="shared" si="126"/>
        <v>4041.8181818181888</v>
      </c>
      <c r="G1996" s="1263">
        <f t="shared" si="127"/>
        <v>831.4915453579697</v>
      </c>
      <c r="H1996" s="1266">
        <f t="shared" si="128"/>
        <v>831.4915453579697</v>
      </c>
      <c r="I1996" s="724">
        <f t="shared" si="129"/>
        <v>0</v>
      </c>
      <c r="J1996" s="724"/>
      <c r="K1996" s="869"/>
      <c r="L1996" s="729"/>
      <c r="M1996" s="869"/>
      <c r="N1996" s="729"/>
      <c r="O1996" s="729"/>
    </row>
    <row r="1997" spans="3:15">
      <c r="C1997" s="720">
        <f>IF(D1967="","-",+C1996+1)</f>
        <v>2038</v>
      </c>
      <c r="D1997" s="673">
        <f t="shared" si="130"/>
        <v>4041.8181818181888</v>
      </c>
      <c r="E1997" s="726">
        <f t="shared" si="131"/>
        <v>196.36363636363637</v>
      </c>
      <c r="F1997" s="673">
        <f t="shared" si="126"/>
        <v>3845.4545454545523</v>
      </c>
      <c r="G1997" s="1263">
        <f t="shared" si="127"/>
        <v>801.36690145310001</v>
      </c>
      <c r="H1997" s="1266">
        <f t="shared" si="128"/>
        <v>801.36690145310001</v>
      </c>
      <c r="I1997" s="724">
        <f t="shared" si="129"/>
        <v>0</v>
      </c>
      <c r="J1997" s="724"/>
      <c r="K1997" s="869"/>
      <c r="L1997" s="729"/>
      <c r="M1997" s="869"/>
      <c r="N1997" s="729"/>
      <c r="O1997" s="729"/>
    </row>
    <row r="1998" spans="3:15">
      <c r="C1998" s="720">
        <f>IF(D1967="","-",+C1997+1)</f>
        <v>2039</v>
      </c>
      <c r="D1998" s="673">
        <f t="shared" si="130"/>
        <v>3845.4545454545523</v>
      </c>
      <c r="E1998" s="726">
        <f t="shared" si="131"/>
        <v>196.36363636363637</v>
      </c>
      <c r="F1998" s="673">
        <f t="shared" si="126"/>
        <v>3649.0909090909158</v>
      </c>
      <c r="G1998" s="1263">
        <f t="shared" si="127"/>
        <v>771.24225754823055</v>
      </c>
      <c r="H1998" s="1266">
        <f t="shared" si="128"/>
        <v>771.24225754823055</v>
      </c>
      <c r="I1998" s="724">
        <f t="shared" si="129"/>
        <v>0</v>
      </c>
      <c r="J1998" s="724"/>
      <c r="K1998" s="869"/>
      <c r="L1998" s="729"/>
      <c r="M1998" s="869"/>
      <c r="N1998" s="729"/>
      <c r="O1998" s="729"/>
    </row>
    <row r="1999" spans="3:15">
      <c r="C1999" s="720">
        <f>IF(D1967="","-",+C1998+1)</f>
        <v>2040</v>
      </c>
      <c r="D1999" s="673">
        <f t="shared" si="130"/>
        <v>3649.0909090909158</v>
      </c>
      <c r="E1999" s="726">
        <f t="shared" si="131"/>
        <v>196.36363636363637</v>
      </c>
      <c r="F1999" s="673">
        <f t="shared" si="126"/>
        <v>3452.7272727272793</v>
      </c>
      <c r="G1999" s="1263">
        <f t="shared" si="127"/>
        <v>741.11761364336098</v>
      </c>
      <c r="H1999" s="1266">
        <f t="shared" si="128"/>
        <v>741.11761364336098</v>
      </c>
      <c r="I1999" s="724">
        <f t="shared" si="129"/>
        <v>0</v>
      </c>
      <c r="J1999" s="724"/>
      <c r="K1999" s="869"/>
      <c r="L1999" s="729"/>
      <c r="M1999" s="869"/>
      <c r="N1999" s="729"/>
      <c r="O1999" s="729"/>
    </row>
    <row r="2000" spans="3:15">
      <c r="C2000" s="720">
        <f>IF(D1967="","-",+C1999+1)</f>
        <v>2041</v>
      </c>
      <c r="D2000" s="673">
        <f t="shared" si="130"/>
        <v>3452.7272727272793</v>
      </c>
      <c r="E2000" s="726">
        <f t="shared" si="131"/>
        <v>196.36363636363637</v>
      </c>
      <c r="F2000" s="673">
        <f t="shared" si="126"/>
        <v>3256.3636363636429</v>
      </c>
      <c r="G2000" s="1263">
        <f t="shared" si="127"/>
        <v>710.99296973849152</v>
      </c>
      <c r="H2000" s="1266">
        <f t="shared" si="128"/>
        <v>710.99296973849152</v>
      </c>
      <c r="I2000" s="724">
        <f t="shared" si="129"/>
        <v>0</v>
      </c>
      <c r="J2000" s="724"/>
      <c r="K2000" s="869"/>
      <c r="L2000" s="729"/>
      <c r="M2000" s="869"/>
      <c r="N2000" s="729"/>
      <c r="O2000" s="729"/>
    </row>
    <row r="2001" spans="3:15">
      <c r="C2001" s="720">
        <f>IF(D1967="","-",+C2000+1)</f>
        <v>2042</v>
      </c>
      <c r="D2001" s="673">
        <f t="shared" si="130"/>
        <v>3256.3636363636429</v>
      </c>
      <c r="E2001" s="726">
        <f t="shared" si="131"/>
        <v>196.36363636363637</v>
      </c>
      <c r="F2001" s="673">
        <f t="shared" si="126"/>
        <v>3060.0000000000064</v>
      </c>
      <c r="G2001" s="1264">
        <f t="shared" si="127"/>
        <v>680.86832583362195</v>
      </c>
      <c r="H2001" s="1266">
        <f t="shared" si="128"/>
        <v>680.86832583362195</v>
      </c>
      <c r="I2001" s="724">
        <f t="shared" si="129"/>
        <v>0</v>
      </c>
      <c r="J2001" s="724"/>
      <c r="K2001" s="869"/>
      <c r="L2001" s="729"/>
      <c r="M2001" s="869"/>
      <c r="N2001" s="729"/>
      <c r="O2001" s="729"/>
    </row>
    <row r="2002" spans="3:15">
      <c r="C2002" s="720">
        <f>IF(D1967="","-",+C2001+1)</f>
        <v>2043</v>
      </c>
      <c r="D2002" s="673">
        <f t="shared" si="130"/>
        <v>3060.0000000000064</v>
      </c>
      <c r="E2002" s="726">
        <f t="shared" si="131"/>
        <v>196.36363636363637</v>
      </c>
      <c r="F2002" s="673">
        <f t="shared" si="126"/>
        <v>2863.6363636363699</v>
      </c>
      <c r="G2002" s="1263">
        <f t="shared" si="127"/>
        <v>650.74368192875249</v>
      </c>
      <c r="H2002" s="1266">
        <f t="shared" si="128"/>
        <v>650.74368192875249</v>
      </c>
      <c r="I2002" s="724">
        <f t="shared" si="129"/>
        <v>0</v>
      </c>
      <c r="J2002" s="724"/>
      <c r="K2002" s="869"/>
      <c r="L2002" s="729"/>
      <c r="M2002" s="869"/>
      <c r="N2002" s="729"/>
      <c r="O2002" s="729"/>
    </row>
    <row r="2003" spans="3:15">
      <c r="C2003" s="720">
        <f>IF(D1967="","-",+C2002+1)</f>
        <v>2044</v>
      </c>
      <c r="D2003" s="673">
        <f t="shared" si="130"/>
        <v>2863.6363636363699</v>
      </c>
      <c r="E2003" s="726">
        <f t="shared" si="131"/>
        <v>196.36363636363637</v>
      </c>
      <c r="F2003" s="673">
        <f t="shared" si="126"/>
        <v>2667.2727272727334</v>
      </c>
      <c r="G2003" s="1263">
        <f t="shared" si="127"/>
        <v>620.61903802388292</v>
      </c>
      <c r="H2003" s="1266">
        <f t="shared" si="128"/>
        <v>620.61903802388292</v>
      </c>
      <c r="I2003" s="724">
        <f t="shared" si="129"/>
        <v>0</v>
      </c>
      <c r="J2003" s="724"/>
      <c r="K2003" s="869"/>
      <c r="L2003" s="729"/>
      <c r="M2003" s="869"/>
      <c r="N2003" s="729"/>
      <c r="O2003" s="729"/>
    </row>
    <row r="2004" spans="3:15">
      <c r="C2004" s="720">
        <f>IF(D1967="","-",+C2003+1)</f>
        <v>2045</v>
      </c>
      <c r="D2004" s="673">
        <f t="shared" si="130"/>
        <v>2667.2727272727334</v>
      </c>
      <c r="E2004" s="726">
        <f t="shared" si="131"/>
        <v>196.36363636363637</v>
      </c>
      <c r="F2004" s="673">
        <f t="shared" si="126"/>
        <v>2470.9090909090969</v>
      </c>
      <c r="G2004" s="1263">
        <f t="shared" si="127"/>
        <v>590.49439411901335</v>
      </c>
      <c r="H2004" s="1266">
        <f t="shared" si="128"/>
        <v>590.49439411901335</v>
      </c>
      <c r="I2004" s="724">
        <f t="shared" si="129"/>
        <v>0</v>
      </c>
      <c r="J2004" s="724"/>
      <c r="K2004" s="869"/>
      <c r="L2004" s="729"/>
      <c r="M2004" s="869"/>
      <c r="N2004" s="729"/>
      <c r="O2004" s="729"/>
    </row>
    <row r="2005" spans="3:15">
      <c r="C2005" s="720">
        <f>IF(D1967="","-",+C2004+1)</f>
        <v>2046</v>
      </c>
      <c r="D2005" s="673">
        <f t="shared" si="130"/>
        <v>2470.9090909090969</v>
      </c>
      <c r="E2005" s="726">
        <f t="shared" si="131"/>
        <v>196.36363636363637</v>
      </c>
      <c r="F2005" s="673">
        <f t="shared" si="126"/>
        <v>2274.5454545454604</v>
      </c>
      <c r="G2005" s="1263">
        <f t="shared" si="127"/>
        <v>560.36975021414378</v>
      </c>
      <c r="H2005" s="1266">
        <f t="shared" si="128"/>
        <v>560.36975021414378</v>
      </c>
      <c r="I2005" s="724">
        <f t="shared" si="129"/>
        <v>0</v>
      </c>
      <c r="J2005" s="724"/>
      <c r="K2005" s="869"/>
      <c r="L2005" s="729"/>
      <c r="M2005" s="869"/>
      <c r="N2005" s="729"/>
      <c r="O2005" s="729"/>
    </row>
    <row r="2006" spans="3:15">
      <c r="C2006" s="720">
        <f>IF(D1967="","-",+C2005+1)</f>
        <v>2047</v>
      </c>
      <c r="D2006" s="673">
        <f t="shared" si="130"/>
        <v>2274.5454545454604</v>
      </c>
      <c r="E2006" s="726">
        <f t="shared" si="131"/>
        <v>196.36363636363637</v>
      </c>
      <c r="F2006" s="673">
        <f t="shared" si="126"/>
        <v>2078.1818181818239</v>
      </c>
      <c r="G2006" s="1263">
        <f t="shared" si="127"/>
        <v>530.24510630927443</v>
      </c>
      <c r="H2006" s="1266">
        <f t="shared" si="128"/>
        <v>530.24510630927443</v>
      </c>
      <c r="I2006" s="724">
        <f t="shared" si="129"/>
        <v>0</v>
      </c>
      <c r="J2006" s="724"/>
      <c r="K2006" s="869"/>
      <c r="L2006" s="729"/>
      <c r="M2006" s="869"/>
      <c r="N2006" s="729"/>
      <c r="O2006" s="729"/>
    </row>
    <row r="2007" spans="3:15">
      <c r="C2007" s="720">
        <f>IF(D1967="","-",+C2006+1)</f>
        <v>2048</v>
      </c>
      <c r="D2007" s="673">
        <f t="shared" si="130"/>
        <v>2078.1818181818239</v>
      </c>
      <c r="E2007" s="726">
        <f t="shared" si="131"/>
        <v>196.36363636363637</v>
      </c>
      <c r="F2007" s="673">
        <f t="shared" si="126"/>
        <v>1881.8181818181874</v>
      </c>
      <c r="G2007" s="1263">
        <f t="shared" si="127"/>
        <v>500.1204624044048</v>
      </c>
      <c r="H2007" s="1266">
        <f t="shared" si="128"/>
        <v>500.1204624044048</v>
      </c>
      <c r="I2007" s="724">
        <f t="shared" si="129"/>
        <v>0</v>
      </c>
      <c r="J2007" s="724"/>
      <c r="K2007" s="869"/>
      <c r="L2007" s="729"/>
      <c r="M2007" s="869"/>
      <c r="N2007" s="729"/>
      <c r="O2007" s="729"/>
    </row>
    <row r="2008" spans="3:15">
      <c r="C2008" s="720">
        <f>IF(D1967="","-",+C2007+1)</f>
        <v>2049</v>
      </c>
      <c r="D2008" s="673">
        <f t="shared" si="130"/>
        <v>1881.8181818181874</v>
      </c>
      <c r="E2008" s="726">
        <f t="shared" si="131"/>
        <v>196.36363636363637</v>
      </c>
      <c r="F2008" s="673">
        <f t="shared" si="126"/>
        <v>1685.454545454551</v>
      </c>
      <c r="G2008" s="1263">
        <f t="shared" si="127"/>
        <v>469.99581849953529</v>
      </c>
      <c r="H2008" s="1266">
        <f t="shared" si="128"/>
        <v>469.99581849953529</v>
      </c>
      <c r="I2008" s="724">
        <f t="shared" si="129"/>
        <v>0</v>
      </c>
      <c r="J2008" s="724"/>
      <c r="K2008" s="869"/>
      <c r="L2008" s="729"/>
      <c r="M2008" s="869"/>
      <c r="N2008" s="729"/>
      <c r="O2008" s="729"/>
    </row>
    <row r="2009" spans="3:15">
      <c r="C2009" s="720">
        <f>IF(D1967="","-",+C2008+1)</f>
        <v>2050</v>
      </c>
      <c r="D2009" s="673">
        <f t="shared" si="130"/>
        <v>1685.454545454551</v>
      </c>
      <c r="E2009" s="726">
        <f t="shared" si="131"/>
        <v>196.36363636363637</v>
      </c>
      <c r="F2009" s="673">
        <f t="shared" si="126"/>
        <v>1489.0909090909145</v>
      </c>
      <c r="G2009" s="1263">
        <f t="shared" si="127"/>
        <v>439.87117459466572</v>
      </c>
      <c r="H2009" s="1266">
        <f t="shared" si="128"/>
        <v>439.87117459466572</v>
      </c>
      <c r="I2009" s="724">
        <f t="shared" si="129"/>
        <v>0</v>
      </c>
      <c r="J2009" s="724"/>
      <c r="K2009" s="869"/>
      <c r="L2009" s="729"/>
      <c r="M2009" s="869"/>
      <c r="N2009" s="729"/>
      <c r="O2009" s="729"/>
    </row>
    <row r="2010" spans="3:15">
      <c r="C2010" s="720">
        <f>IF(D1967="","-",+C2009+1)</f>
        <v>2051</v>
      </c>
      <c r="D2010" s="673">
        <f t="shared" si="130"/>
        <v>1489.0909090909145</v>
      </c>
      <c r="E2010" s="726">
        <f t="shared" si="131"/>
        <v>196.36363636363637</v>
      </c>
      <c r="F2010" s="673">
        <f t="shared" si="126"/>
        <v>1292.727272727278</v>
      </c>
      <c r="G2010" s="1263">
        <f t="shared" si="127"/>
        <v>409.74653068979626</v>
      </c>
      <c r="H2010" s="1266">
        <f t="shared" si="128"/>
        <v>409.74653068979626</v>
      </c>
      <c r="I2010" s="724">
        <f t="shared" si="129"/>
        <v>0</v>
      </c>
      <c r="J2010" s="724"/>
      <c r="K2010" s="869"/>
      <c r="L2010" s="729"/>
      <c r="M2010" s="869"/>
      <c r="N2010" s="729"/>
      <c r="O2010" s="729"/>
    </row>
    <row r="2011" spans="3:15">
      <c r="C2011" s="720">
        <f>IF(D1967="","-",+C2010+1)</f>
        <v>2052</v>
      </c>
      <c r="D2011" s="673">
        <f t="shared" si="130"/>
        <v>1292.727272727278</v>
      </c>
      <c r="E2011" s="726">
        <f t="shared" si="131"/>
        <v>196.36363636363637</v>
      </c>
      <c r="F2011" s="673">
        <f t="shared" si="126"/>
        <v>1096.3636363636415</v>
      </c>
      <c r="G2011" s="1263">
        <f t="shared" si="127"/>
        <v>379.62188678492669</v>
      </c>
      <c r="H2011" s="1266">
        <f t="shared" si="128"/>
        <v>379.62188678492669</v>
      </c>
      <c r="I2011" s="724">
        <f t="shared" si="129"/>
        <v>0</v>
      </c>
      <c r="J2011" s="724"/>
      <c r="K2011" s="869"/>
      <c r="L2011" s="729"/>
      <c r="M2011" s="869"/>
      <c r="N2011" s="729"/>
      <c r="O2011" s="729"/>
    </row>
    <row r="2012" spans="3:15">
      <c r="C2012" s="720">
        <f>IF(D1967="","-",+C2011+1)</f>
        <v>2053</v>
      </c>
      <c r="D2012" s="673">
        <f t="shared" si="130"/>
        <v>1096.3636363636415</v>
      </c>
      <c r="E2012" s="726">
        <f t="shared" si="131"/>
        <v>196.36363636363637</v>
      </c>
      <c r="F2012" s="673">
        <f t="shared" si="126"/>
        <v>900.00000000000512</v>
      </c>
      <c r="G2012" s="1263">
        <f t="shared" si="127"/>
        <v>349.49724288005717</v>
      </c>
      <c r="H2012" s="1266">
        <f t="shared" si="128"/>
        <v>349.49724288005717</v>
      </c>
      <c r="I2012" s="724">
        <f t="shared" si="129"/>
        <v>0</v>
      </c>
      <c r="J2012" s="724"/>
      <c r="K2012" s="869"/>
      <c r="L2012" s="729"/>
      <c r="M2012" s="869"/>
      <c r="N2012" s="729"/>
      <c r="O2012" s="729"/>
    </row>
    <row r="2013" spans="3:15">
      <c r="C2013" s="720">
        <f>IF(D1967="","-",+C2012+1)</f>
        <v>2054</v>
      </c>
      <c r="D2013" s="673">
        <f t="shared" si="130"/>
        <v>900.00000000000512</v>
      </c>
      <c r="E2013" s="726">
        <f t="shared" si="131"/>
        <v>196.36363636363637</v>
      </c>
      <c r="F2013" s="673">
        <f t="shared" si="126"/>
        <v>703.63636363636874</v>
      </c>
      <c r="G2013" s="1263">
        <f t="shared" si="127"/>
        <v>319.37259897518766</v>
      </c>
      <c r="H2013" s="1266">
        <f t="shared" si="128"/>
        <v>319.37259897518766</v>
      </c>
      <c r="I2013" s="724">
        <f t="shared" si="129"/>
        <v>0</v>
      </c>
      <c r="J2013" s="724"/>
      <c r="K2013" s="869"/>
      <c r="L2013" s="729"/>
      <c r="M2013" s="869"/>
      <c r="N2013" s="729"/>
      <c r="O2013" s="729"/>
    </row>
    <row r="2014" spans="3:15">
      <c r="C2014" s="720">
        <f>IF(D1967="","-",+C2013+1)</f>
        <v>2055</v>
      </c>
      <c r="D2014" s="673">
        <f t="shared" si="130"/>
        <v>703.63636363636874</v>
      </c>
      <c r="E2014" s="726">
        <f t="shared" si="131"/>
        <v>196.36363636363637</v>
      </c>
      <c r="F2014" s="673">
        <f t="shared" si="126"/>
        <v>507.27272727273237</v>
      </c>
      <c r="G2014" s="1263">
        <f t="shared" si="127"/>
        <v>289.24795507031814</v>
      </c>
      <c r="H2014" s="1266">
        <f t="shared" si="128"/>
        <v>289.24795507031814</v>
      </c>
      <c r="I2014" s="724">
        <f t="shared" si="129"/>
        <v>0</v>
      </c>
      <c r="J2014" s="724"/>
      <c r="K2014" s="869"/>
      <c r="L2014" s="729"/>
      <c r="M2014" s="869"/>
      <c r="N2014" s="729"/>
      <c r="O2014" s="729"/>
    </row>
    <row r="2015" spans="3:15">
      <c r="C2015" s="720">
        <f>IF(D1967="","-",+C2014+1)</f>
        <v>2056</v>
      </c>
      <c r="D2015" s="673">
        <f t="shared" si="130"/>
        <v>507.27272727273237</v>
      </c>
      <c r="E2015" s="726">
        <f t="shared" si="131"/>
        <v>196.36363636363637</v>
      </c>
      <c r="F2015" s="673">
        <f t="shared" si="126"/>
        <v>310.90909090909599</v>
      </c>
      <c r="G2015" s="1263">
        <f t="shared" si="127"/>
        <v>259.12331116544863</v>
      </c>
      <c r="H2015" s="1266">
        <f t="shared" si="128"/>
        <v>259.12331116544863</v>
      </c>
      <c r="I2015" s="724">
        <f t="shared" si="129"/>
        <v>0</v>
      </c>
      <c r="J2015" s="724"/>
      <c r="K2015" s="869"/>
      <c r="L2015" s="729"/>
      <c r="M2015" s="869"/>
      <c r="N2015" s="729"/>
      <c r="O2015" s="729"/>
    </row>
    <row r="2016" spans="3:15">
      <c r="C2016" s="720">
        <f>IF(D1967="","-",+C2015+1)</f>
        <v>2057</v>
      </c>
      <c r="D2016" s="673">
        <f t="shared" si="130"/>
        <v>310.90909090909599</v>
      </c>
      <c r="E2016" s="726">
        <f t="shared" si="131"/>
        <v>196.36363636363637</v>
      </c>
      <c r="F2016" s="673">
        <f t="shared" si="126"/>
        <v>114.54545454545962</v>
      </c>
      <c r="G2016" s="1263">
        <f t="shared" si="127"/>
        <v>228.99866726057911</v>
      </c>
      <c r="H2016" s="1266">
        <f t="shared" si="128"/>
        <v>228.99866726057911</v>
      </c>
      <c r="I2016" s="724">
        <f t="shared" si="129"/>
        <v>0</v>
      </c>
      <c r="J2016" s="724"/>
      <c r="K2016" s="869"/>
      <c r="L2016" s="729"/>
      <c r="M2016" s="869"/>
      <c r="N2016" s="729"/>
      <c r="O2016" s="729"/>
    </row>
    <row r="2017" spans="3:15">
      <c r="C2017" s="720">
        <f>IF(D1967="","-",+C2016+1)</f>
        <v>2058</v>
      </c>
      <c r="D2017" s="673">
        <f t="shared" si="130"/>
        <v>114.54545454545962</v>
      </c>
      <c r="E2017" s="726">
        <f t="shared" si="131"/>
        <v>114.54545454545962</v>
      </c>
      <c r="F2017" s="673">
        <f t="shared" si="126"/>
        <v>0</v>
      </c>
      <c r="G2017" s="1263">
        <f t="shared" si="127"/>
        <v>123.33180901771362</v>
      </c>
      <c r="H2017" s="1266">
        <f t="shared" si="128"/>
        <v>123.33180901771362</v>
      </c>
      <c r="I2017" s="724">
        <f t="shared" si="129"/>
        <v>0</v>
      </c>
      <c r="J2017" s="724"/>
      <c r="K2017" s="869"/>
      <c r="L2017" s="729"/>
      <c r="M2017" s="869"/>
      <c r="N2017" s="729"/>
      <c r="O2017" s="729"/>
    </row>
    <row r="2018" spans="3:15">
      <c r="C2018" s="720">
        <f>IF(D1967="","-",+C2017+1)</f>
        <v>2059</v>
      </c>
      <c r="D2018" s="673">
        <f t="shared" si="130"/>
        <v>0</v>
      </c>
      <c r="E2018" s="726">
        <f t="shared" si="131"/>
        <v>0</v>
      </c>
      <c r="F2018" s="673">
        <f t="shared" si="126"/>
        <v>0</v>
      </c>
      <c r="G2018" s="1263">
        <f t="shared" si="127"/>
        <v>0</v>
      </c>
      <c r="H2018" s="1266">
        <f t="shared" si="128"/>
        <v>0</v>
      </c>
      <c r="I2018" s="724">
        <f t="shared" si="129"/>
        <v>0</v>
      </c>
      <c r="J2018" s="724"/>
      <c r="K2018" s="869"/>
      <c r="L2018" s="729"/>
      <c r="M2018" s="869"/>
      <c r="N2018" s="729"/>
      <c r="O2018" s="729"/>
    </row>
    <row r="2019" spans="3:15">
      <c r="C2019" s="720">
        <f>IF(D1967="","-",+C2018+1)</f>
        <v>2060</v>
      </c>
      <c r="D2019" s="673">
        <f t="shared" si="130"/>
        <v>0</v>
      </c>
      <c r="E2019" s="726">
        <f t="shared" si="131"/>
        <v>0</v>
      </c>
      <c r="F2019" s="673">
        <f t="shared" si="126"/>
        <v>0</v>
      </c>
      <c r="G2019" s="1263">
        <f t="shared" si="127"/>
        <v>0</v>
      </c>
      <c r="H2019" s="1266">
        <f t="shared" si="128"/>
        <v>0</v>
      </c>
      <c r="I2019" s="724">
        <f t="shared" si="129"/>
        <v>0</v>
      </c>
      <c r="J2019" s="724"/>
      <c r="K2019" s="869"/>
      <c r="L2019" s="729"/>
      <c r="M2019" s="869"/>
      <c r="N2019" s="729"/>
      <c r="O2019" s="729"/>
    </row>
    <row r="2020" spans="3:15">
      <c r="C2020" s="720">
        <f>IF(D1967="","-",+C2019+1)</f>
        <v>2061</v>
      </c>
      <c r="D2020" s="673">
        <f t="shared" si="130"/>
        <v>0</v>
      </c>
      <c r="E2020" s="726">
        <f t="shared" si="131"/>
        <v>0</v>
      </c>
      <c r="F2020" s="673">
        <f t="shared" si="126"/>
        <v>0</v>
      </c>
      <c r="G2020" s="1263">
        <f t="shared" si="127"/>
        <v>0</v>
      </c>
      <c r="H2020" s="1266">
        <f t="shared" si="128"/>
        <v>0</v>
      </c>
      <c r="I2020" s="724">
        <f t="shared" si="129"/>
        <v>0</v>
      </c>
      <c r="J2020" s="724"/>
      <c r="K2020" s="869"/>
      <c r="L2020" s="729"/>
      <c r="M2020" s="869"/>
      <c r="N2020" s="729"/>
      <c r="O2020" s="729"/>
    </row>
    <row r="2021" spans="3:15">
      <c r="C2021" s="720">
        <f>IF(D1967="","-",+C2020+1)</f>
        <v>2062</v>
      </c>
      <c r="D2021" s="673">
        <f t="shared" si="130"/>
        <v>0</v>
      </c>
      <c r="E2021" s="726">
        <f t="shared" si="131"/>
        <v>0</v>
      </c>
      <c r="F2021" s="673">
        <f t="shared" si="126"/>
        <v>0</v>
      </c>
      <c r="G2021" s="1263">
        <f t="shared" si="127"/>
        <v>0</v>
      </c>
      <c r="H2021" s="1266">
        <f t="shared" si="128"/>
        <v>0</v>
      </c>
      <c r="I2021" s="724">
        <f t="shared" si="129"/>
        <v>0</v>
      </c>
      <c r="J2021" s="724"/>
      <c r="K2021" s="869"/>
      <c r="L2021" s="729"/>
      <c r="M2021" s="869"/>
      <c r="N2021" s="729"/>
      <c r="O2021" s="729"/>
    </row>
    <row r="2022" spans="3:15">
      <c r="C2022" s="720">
        <f>IF(D1967="","-",+C2021+1)</f>
        <v>2063</v>
      </c>
      <c r="D2022" s="673">
        <f t="shared" si="130"/>
        <v>0</v>
      </c>
      <c r="E2022" s="726">
        <f t="shared" si="131"/>
        <v>0</v>
      </c>
      <c r="F2022" s="673">
        <f t="shared" si="126"/>
        <v>0</v>
      </c>
      <c r="G2022" s="1263">
        <f t="shared" si="127"/>
        <v>0</v>
      </c>
      <c r="H2022" s="1266">
        <f t="shared" si="128"/>
        <v>0</v>
      </c>
      <c r="I2022" s="724">
        <f t="shared" si="129"/>
        <v>0</v>
      </c>
      <c r="J2022" s="724"/>
      <c r="K2022" s="869"/>
      <c r="L2022" s="729"/>
      <c r="M2022" s="869"/>
      <c r="N2022" s="729"/>
      <c r="O2022" s="729"/>
    </row>
    <row r="2023" spans="3:15">
      <c r="C2023" s="720">
        <f>IF(D1967="","-",+C2022+1)</f>
        <v>2064</v>
      </c>
      <c r="D2023" s="673">
        <f t="shared" si="130"/>
        <v>0</v>
      </c>
      <c r="E2023" s="726">
        <f t="shared" si="131"/>
        <v>0</v>
      </c>
      <c r="F2023" s="673">
        <f t="shared" si="126"/>
        <v>0</v>
      </c>
      <c r="G2023" s="1263">
        <f t="shared" si="127"/>
        <v>0</v>
      </c>
      <c r="H2023" s="1266">
        <f t="shared" si="128"/>
        <v>0</v>
      </c>
      <c r="I2023" s="724">
        <f t="shared" si="129"/>
        <v>0</v>
      </c>
      <c r="J2023" s="724"/>
      <c r="K2023" s="869"/>
      <c r="L2023" s="729"/>
      <c r="M2023" s="869"/>
      <c r="N2023" s="729"/>
      <c r="O2023" s="729"/>
    </row>
    <row r="2024" spans="3:15">
      <c r="C2024" s="720">
        <f>IF(D1967="","-",+C2023+1)</f>
        <v>2065</v>
      </c>
      <c r="D2024" s="673">
        <f t="shared" si="130"/>
        <v>0</v>
      </c>
      <c r="E2024" s="726">
        <f t="shared" si="131"/>
        <v>0</v>
      </c>
      <c r="F2024" s="673">
        <f t="shared" si="126"/>
        <v>0</v>
      </c>
      <c r="G2024" s="1263">
        <f t="shared" si="127"/>
        <v>0</v>
      </c>
      <c r="H2024" s="1266">
        <f t="shared" si="128"/>
        <v>0</v>
      </c>
      <c r="I2024" s="724">
        <f t="shared" si="129"/>
        <v>0</v>
      </c>
      <c r="J2024" s="724"/>
      <c r="K2024" s="869"/>
      <c r="L2024" s="729"/>
      <c r="M2024" s="869"/>
      <c r="N2024" s="729"/>
      <c r="O2024" s="729"/>
    </row>
    <row r="2025" spans="3:15">
      <c r="C2025" s="720">
        <f>IF(D1967="","-",+C2024+1)</f>
        <v>2066</v>
      </c>
      <c r="D2025" s="673">
        <f t="shared" si="130"/>
        <v>0</v>
      </c>
      <c r="E2025" s="726">
        <f t="shared" si="131"/>
        <v>0</v>
      </c>
      <c r="F2025" s="673">
        <f t="shared" si="126"/>
        <v>0</v>
      </c>
      <c r="G2025" s="1263">
        <f t="shared" si="127"/>
        <v>0</v>
      </c>
      <c r="H2025" s="1266">
        <f t="shared" si="128"/>
        <v>0</v>
      </c>
      <c r="I2025" s="724">
        <f t="shared" si="129"/>
        <v>0</v>
      </c>
      <c r="J2025" s="724"/>
      <c r="K2025" s="869"/>
      <c r="L2025" s="729"/>
      <c r="M2025" s="869"/>
      <c r="N2025" s="729"/>
      <c r="O2025" s="729"/>
    </row>
    <row r="2026" spans="3:15">
      <c r="C2026" s="720">
        <f>IF(D1967="","-",+C2025+1)</f>
        <v>2067</v>
      </c>
      <c r="D2026" s="673">
        <f t="shared" si="130"/>
        <v>0</v>
      </c>
      <c r="E2026" s="726">
        <f t="shared" si="131"/>
        <v>0</v>
      </c>
      <c r="F2026" s="673">
        <f t="shared" si="126"/>
        <v>0</v>
      </c>
      <c r="G2026" s="1263">
        <f t="shared" si="127"/>
        <v>0</v>
      </c>
      <c r="H2026" s="1266">
        <f t="shared" si="128"/>
        <v>0</v>
      </c>
      <c r="I2026" s="724">
        <f t="shared" si="129"/>
        <v>0</v>
      </c>
      <c r="J2026" s="724"/>
      <c r="K2026" s="869"/>
      <c r="L2026" s="729"/>
      <c r="M2026" s="869"/>
      <c r="N2026" s="729"/>
      <c r="O2026" s="729"/>
    </row>
    <row r="2027" spans="3:15">
      <c r="C2027" s="720">
        <f>IF(D1967="","-",+C2026+1)</f>
        <v>2068</v>
      </c>
      <c r="D2027" s="673">
        <f t="shared" si="130"/>
        <v>0</v>
      </c>
      <c r="E2027" s="726">
        <f t="shared" si="131"/>
        <v>0</v>
      </c>
      <c r="F2027" s="673">
        <f t="shared" si="126"/>
        <v>0</v>
      </c>
      <c r="G2027" s="1263">
        <f t="shared" si="127"/>
        <v>0</v>
      </c>
      <c r="H2027" s="1266">
        <f t="shared" si="128"/>
        <v>0</v>
      </c>
      <c r="I2027" s="724">
        <f t="shared" si="129"/>
        <v>0</v>
      </c>
      <c r="J2027" s="724"/>
      <c r="K2027" s="869"/>
      <c r="L2027" s="729"/>
      <c r="M2027" s="869"/>
      <c r="N2027" s="729"/>
      <c r="O2027" s="729"/>
    </row>
    <row r="2028" spans="3:15">
      <c r="C2028" s="720">
        <f>IF(D1967="","-",+C2027+1)</f>
        <v>2069</v>
      </c>
      <c r="D2028" s="673">
        <f t="shared" si="130"/>
        <v>0</v>
      </c>
      <c r="E2028" s="726">
        <f t="shared" si="131"/>
        <v>0</v>
      </c>
      <c r="F2028" s="673">
        <f t="shared" si="126"/>
        <v>0</v>
      </c>
      <c r="G2028" s="1263">
        <f t="shared" si="127"/>
        <v>0</v>
      </c>
      <c r="H2028" s="1266">
        <f t="shared" si="128"/>
        <v>0</v>
      </c>
      <c r="I2028" s="724">
        <f t="shared" si="129"/>
        <v>0</v>
      </c>
      <c r="J2028" s="724"/>
      <c r="K2028" s="869"/>
      <c r="L2028" s="729"/>
      <c r="M2028" s="869"/>
      <c r="N2028" s="729"/>
      <c r="O2028" s="729"/>
    </row>
    <row r="2029" spans="3:15">
      <c r="C2029" s="720">
        <f>IF(D1967="","-",+C2028+1)</f>
        <v>2070</v>
      </c>
      <c r="D2029" s="673">
        <f t="shared" si="130"/>
        <v>0</v>
      </c>
      <c r="E2029" s="726">
        <f t="shared" si="131"/>
        <v>0</v>
      </c>
      <c r="F2029" s="673">
        <f t="shared" si="126"/>
        <v>0</v>
      </c>
      <c r="G2029" s="1263">
        <f t="shared" si="127"/>
        <v>0</v>
      </c>
      <c r="H2029" s="1266">
        <f t="shared" si="128"/>
        <v>0</v>
      </c>
      <c r="I2029" s="724">
        <f t="shared" si="129"/>
        <v>0</v>
      </c>
      <c r="J2029" s="724"/>
      <c r="K2029" s="869"/>
      <c r="L2029" s="729"/>
      <c r="M2029" s="869"/>
      <c r="N2029" s="729"/>
      <c r="O2029" s="729"/>
    </row>
    <row r="2030" spans="3:15">
      <c r="C2030" s="720">
        <f>IF(D1967="","-",+C2029+1)</f>
        <v>2071</v>
      </c>
      <c r="D2030" s="673">
        <f t="shared" si="130"/>
        <v>0</v>
      </c>
      <c r="E2030" s="726">
        <f t="shared" si="131"/>
        <v>0</v>
      </c>
      <c r="F2030" s="673">
        <f t="shared" si="126"/>
        <v>0</v>
      </c>
      <c r="G2030" s="1263">
        <f t="shared" si="127"/>
        <v>0</v>
      </c>
      <c r="H2030" s="1266">
        <f t="shared" si="128"/>
        <v>0</v>
      </c>
      <c r="I2030" s="724">
        <f t="shared" si="129"/>
        <v>0</v>
      </c>
      <c r="J2030" s="724"/>
      <c r="K2030" s="869"/>
      <c r="L2030" s="729"/>
      <c r="M2030" s="869"/>
      <c r="N2030" s="729"/>
      <c r="O2030" s="729"/>
    </row>
    <row r="2031" spans="3:15">
      <c r="C2031" s="720">
        <f>IF(D1967="","-",+C2030+1)</f>
        <v>2072</v>
      </c>
      <c r="D2031" s="673">
        <f t="shared" si="130"/>
        <v>0</v>
      </c>
      <c r="E2031" s="726">
        <f t="shared" si="131"/>
        <v>0</v>
      </c>
      <c r="F2031" s="673">
        <f t="shared" si="126"/>
        <v>0</v>
      </c>
      <c r="G2031" s="1263">
        <f t="shared" si="127"/>
        <v>0</v>
      </c>
      <c r="H2031" s="1266">
        <f t="shared" si="128"/>
        <v>0</v>
      </c>
      <c r="I2031" s="724">
        <f t="shared" si="129"/>
        <v>0</v>
      </c>
      <c r="J2031" s="724"/>
      <c r="K2031" s="869"/>
      <c r="L2031" s="729"/>
      <c r="M2031" s="869"/>
      <c r="N2031" s="729"/>
      <c r="O2031" s="729"/>
    </row>
    <row r="2032" spans="3:15" ht="13.5" thickBot="1">
      <c r="C2032" s="730">
        <f>IF(D1967="","-",+C2031+1)</f>
        <v>2073</v>
      </c>
      <c r="D2032" s="731">
        <f t="shared" si="130"/>
        <v>0</v>
      </c>
      <c r="E2032" s="732">
        <f>IF(D2032&gt;$I$1881,$I$1881,D2032)</f>
        <v>0</v>
      </c>
      <c r="F2032" s="731">
        <f t="shared" si="126"/>
        <v>0</v>
      </c>
      <c r="G2032" s="1274">
        <f t="shared" si="127"/>
        <v>0</v>
      </c>
      <c r="H2032" s="1274">
        <f t="shared" si="128"/>
        <v>0</v>
      </c>
      <c r="I2032" s="734">
        <f t="shared" si="129"/>
        <v>0</v>
      </c>
      <c r="J2032" s="724"/>
      <c r="K2032" s="870"/>
      <c r="L2032" s="736"/>
      <c r="M2032" s="870"/>
      <c r="N2032" s="736"/>
      <c r="O2032" s="736"/>
    </row>
    <row r="2033" spans="3:15">
      <c r="C2033" s="673" t="s">
        <v>288</v>
      </c>
      <c r="D2033" s="1242"/>
      <c r="E2033" s="673"/>
      <c r="F2033" s="1242"/>
      <c r="G2033" s="1242">
        <f>SUM(G1973:G2032)</f>
        <v>38573.854493472034</v>
      </c>
      <c r="H2033" s="1242">
        <f>SUM(H1973:H2032)</f>
        <v>38573.854493472034</v>
      </c>
      <c r="I2033" s="1242">
        <f>SUM(I1973:I2032)</f>
        <v>0</v>
      </c>
      <c r="J2033" s="1242"/>
      <c r="K2033" s="1242"/>
      <c r="L2033" s="1242"/>
      <c r="M2033" s="1242"/>
      <c r="N2033" s="1242"/>
      <c r="O2033" s="542"/>
    </row>
    <row r="2034" spans="3:15">
      <c r="D2034" s="563"/>
      <c r="E2034" s="542"/>
      <c r="F2034" s="542"/>
      <c r="G2034" s="542"/>
      <c r="H2034" s="1241"/>
      <c r="I2034" s="1241"/>
      <c r="J2034" s="1242"/>
      <c r="K2034" s="1241"/>
      <c r="L2034" s="1241"/>
      <c r="M2034" s="1241"/>
      <c r="N2034" s="1241"/>
      <c r="O2034" s="542"/>
    </row>
    <row r="2035" spans="3:15">
      <c r="C2035" s="542" t="s">
        <v>595</v>
      </c>
      <c r="D2035" s="563"/>
      <c r="E2035" s="542"/>
      <c r="F2035" s="542"/>
      <c r="G2035" s="542"/>
      <c r="H2035" s="1241"/>
      <c r="I2035" s="1241"/>
      <c r="J2035" s="1242"/>
      <c r="K2035" s="1241"/>
      <c r="L2035" s="1241"/>
      <c r="M2035" s="1241"/>
      <c r="N2035" s="1241"/>
      <c r="O2035" s="542"/>
    </row>
    <row r="2036" spans="3:15">
      <c r="C2036" s="542"/>
      <c r="D2036" s="563"/>
      <c r="E2036" s="542"/>
      <c r="F2036" s="542"/>
      <c r="G2036" s="542"/>
      <c r="H2036" s="1241"/>
      <c r="I2036" s="1241"/>
      <c r="J2036" s="1242"/>
      <c r="K2036" s="1241"/>
      <c r="L2036" s="1241"/>
      <c r="M2036" s="1241"/>
      <c r="N2036" s="1241"/>
      <c r="O2036" s="542"/>
    </row>
    <row r="2037" spans="3:15">
      <c r="C2037" s="684" t="s">
        <v>934</v>
      </c>
      <c r="D2037" s="673"/>
      <c r="E2037" s="673"/>
      <c r="F2037" s="673"/>
      <c r="G2037" s="1242"/>
      <c r="H2037" s="1242"/>
      <c r="I2037" s="674"/>
      <c r="J2037" s="674"/>
      <c r="K2037" s="674"/>
      <c r="L2037" s="674"/>
      <c r="M2037" s="674"/>
      <c r="N2037" s="674"/>
      <c r="O2037" s="542"/>
    </row>
    <row r="2038" spans="3:15">
      <c r="C2038" s="684" t="s">
        <v>476</v>
      </c>
      <c r="D2038" s="673"/>
      <c r="E2038" s="673"/>
      <c r="F2038" s="673"/>
      <c r="G2038" s="1242"/>
      <c r="H2038" s="1242"/>
      <c r="I2038" s="674"/>
      <c r="J2038" s="674"/>
      <c r="K2038" s="674"/>
      <c r="L2038" s="674"/>
      <c r="M2038" s="674"/>
      <c r="N2038" s="674"/>
      <c r="O2038" s="542"/>
    </row>
    <row r="2039" spans="3:15">
      <c r="C2039" s="672" t="s">
        <v>289</v>
      </c>
      <c r="D2039" s="673"/>
      <c r="E2039" s="673"/>
      <c r="F2039" s="673"/>
      <c r="G2039" s="1242"/>
      <c r="H2039" s="1242"/>
      <c r="I2039" s="674"/>
      <c r="J2039" s="674"/>
      <c r="K2039" s="674"/>
      <c r="L2039" s="674"/>
      <c r="M2039" s="674"/>
      <c r="N2039" s="674"/>
      <c r="O2039" s="542"/>
    </row>
    <row r="2040" spans="3:15">
      <c r="C2040" s="672"/>
      <c r="D2040" s="673"/>
      <c r="E2040" s="673"/>
      <c r="F2040" s="673"/>
      <c r="G2040" s="1242"/>
      <c r="H2040" s="1242"/>
      <c r="I2040" s="674"/>
      <c r="J2040" s="674"/>
      <c r="K2040" s="674"/>
      <c r="L2040" s="674"/>
      <c r="M2040" s="674"/>
      <c r="N2040" s="674"/>
      <c r="O2040" s="542"/>
    </row>
    <row r="2041" spans="3:15">
      <c r="C2041" s="1701" t="s">
        <v>460</v>
      </c>
      <c r="D2041" s="1701"/>
      <c r="E2041" s="1701"/>
      <c r="F2041" s="1701"/>
      <c r="G2041" s="1701"/>
      <c r="H2041" s="1701"/>
      <c r="I2041" s="1701"/>
      <c r="J2041" s="1701"/>
      <c r="K2041" s="1701"/>
      <c r="L2041" s="1701"/>
      <c r="M2041" s="1701"/>
      <c r="N2041" s="1701"/>
      <c r="O2041" s="1701"/>
    </row>
    <row r="2042" spans="3:15">
      <c r="C2042" s="1701"/>
      <c r="D2042" s="1701"/>
      <c r="E2042" s="1701"/>
      <c r="F2042" s="1701"/>
      <c r="G2042" s="1701"/>
      <c r="H2042" s="1701"/>
      <c r="I2042" s="1701"/>
      <c r="J2042" s="1701"/>
      <c r="K2042" s="1701"/>
      <c r="L2042" s="1701"/>
      <c r="M2042" s="1701"/>
      <c r="N2042" s="1701"/>
      <c r="O2042" s="1701"/>
    </row>
  </sheetData>
  <mergeCells count="64">
    <mergeCell ref="A3:O3"/>
    <mergeCell ref="C11:H12"/>
    <mergeCell ref="A4:O4"/>
    <mergeCell ref="A5:O5"/>
    <mergeCell ref="A6:O6"/>
    <mergeCell ref="D269:G269"/>
    <mergeCell ref="C883:O884"/>
    <mergeCell ref="D893:I893"/>
    <mergeCell ref="K897:O897"/>
    <mergeCell ref="D359:I360"/>
    <mergeCell ref="K363:O363"/>
    <mergeCell ref="K808:O808"/>
    <mergeCell ref="K452:O452"/>
    <mergeCell ref="C527:O528"/>
    <mergeCell ref="K541:O541"/>
    <mergeCell ref="C616:O617"/>
    <mergeCell ref="K22:O23"/>
    <mergeCell ref="K273:O273"/>
    <mergeCell ref="K719:O719"/>
    <mergeCell ref="C794:O795"/>
    <mergeCell ref="D804:I804"/>
    <mergeCell ref="K630:O630"/>
    <mergeCell ref="C705:O706"/>
    <mergeCell ref="C348:O349"/>
    <mergeCell ref="D89:G89"/>
    <mergeCell ref="K93:O93"/>
    <mergeCell ref="C168:O169"/>
    <mergeCell ref="D179:I180"/>
    <mergeCell ref="K183:O183"/>
    <mergeCell ref="C258:O259"/>
    <mergeCell ref="C438:O439"/>
    <mergeCell ref="D448:I448"/>
    <mergeCell ref="C972:O973"/>
    <mergeCell ref="K986:O986"/>
    <mergeCell ref="C1061:O1062"/>
    <mergeCell ref="K1075:O1075"/>
    <mergeCell ref="C1150:O1151"/>
    <mergeCell ref="K1164:O1164"/>
    <mergeCell ref="D1071:I1071"/>
    <mergeCell ref="C1239:O1240"/>
    <mergeCell ref="K1253:O1253"/>
    <mergeCell ref="C1328:O1329"/>
    <mergeCell ref="D1338:I1338"/>
    <mergeCell ref="K1342:O1342"/>
    <mergeCell ref="C1417:O1418"/>
    <mergeCell ref="D1427:G1427"/>
    <mergeCell ref="K1431:O1431"/>
    <mergeCell ref="C1506:O1507"/>
    <mergeCell ref="D1516:F1516"/>
    <mergeCell ref="K1520:O1520"/>
    <mergeCell ref="C1595:O1596"/>
    <mergeCell ref="K1609:O1609"/>
    <mergeCell ref="C1684:O1685"/>
    <mergeCell ref="D1694:G1694"/>
    <mergeCell ref="K1877:O1877"/>
    <mergeCell ref="C1952:O1953"/>
    <mergeCell ref="K1966:O1966"/>
    <mergeCell ref="C2041:O2042"/>
    <mergeCell ref="K1698:O1698"/>
    <mergeCell ref="C1773:O1774"/>
    <mergeCell ref="D1784:G1784"/>
    <mergeCell ref="K1788:O1788"/>
    <mergeCell ref="C1863:O1864"/>
    <mergeCell ref="D1873:G1873"/>
  </mergeCells>
  <phoneticPr fontId="0" type="noConversion"/>
  <conditionalFormatting sqref="C100:C159 C190:C249 C280:C339">
    <cfRule type="cellIs" dxfId="66" priority="20" stopIfTrue="1" operator="equal">
      <formula>$I$93</formula>
    </cfRule>
  </conditionalFormatting>
  <conditionalFormatting sqref="C370:C429">
    <cfRule type="cellIs" dxfId="65" priority="19" stopIfTrue="1" operator="equal">
      <formula>$I$93</formula>
    </cfRule>
  </conditionalFormatting>
  <conditionalFormatting sqref="C459:C518">
    <cfRule type="cellIs" dxfId="64" priority="18" stopIfTrue="1" operator="equal">
      <formula>$I$93</formula>
    </cfRule>
  </conditionalFormatting>
  <conditionalFormatting sqref="C548:C607">
    <cfRule type="cellIs" dxfId="63" priority="17" stopIfTrue="1" operator="equal">
      <formula>$I$93</formula>
    </cfRule>
  </conditionalFormatting>
  <conditionalFormatting sqref="C637:C696">
    <cfRule type="cellIs" dxfId="62" priority="16" stopIfTrue="1" operator="equal">
      <formula>$I$93</formula>
    </cfRule>
  </conditionalFormatting>
  <conditionalFormatting sqref="C726:C785">
    <cfRule type="cellIs" dxfId="61" priority="15" stopIfTrue="1" operator="equal">
      <formula>$I$93</formula>
    </cfRule>
  </conditionalFormatting>
  <conditionalFormatting sqref="C815:C874">
    <cfRule type="cellIs" dxfId="60" priority="14" stopIfTrue="1" operator="equal">
      <formula>$I$93</formula>
    </cfRule>
  </conditionalFormatting>
  <conditionalFormatting sqref="C904:C963">
    <cfRule type="cellIs" dxfId="59" priority="13" stopIfTrue="1" operator="equal">
      <formula>$I$93</formula>
    </cfRule>
  </conditionalFormatting>
  <conditionalFormatting sqref="C993:C1052">
    <cfRule type="cellIs" dxfId="58" priority="12" stopIfTrue="1" operator="equal">
      <formula>$I$93</formula>
    </cfRule>
  </conditionalFormatting>
  <conditionalFormatting sqref="C1082:C1141">
    <cfRule type="cellIs" dxfId="57" priority="11" stopIfTrue="1" operator="equal">
      <formula>$I$93</formula>
    </cfRule>
  </conditionalFormatting>
  <conditionalFormatting sqref="C1171:C1230">
    <cfRule type="cellIs" dxfId="56" priority="10" stopIfTrue="1" operator="equal">
      <formula>$I$93</formula>
    </cfRule>
  </conditionalFormatting>
  <conditionalFormatting sqref="C1260:C1319">
    <cfRule type="cellIs" dxfId="55" priority="9" stopIfTrue="1" operator="equal">
      <formula>$I$93</formula>
    </cfRule>
  </conditionalFormatting>
  <conditionalFormatting sqref="C1349:C1408">
    <cfRule type="cellIs" dxfId="54" priority="8" stopIfTrue="1" operator="equal">
      <formula>$I$93</formula>
    </cfRule>
  </conditionalFormatting>
  <conditionalFormatting sqref="C1438:C1497">
    <cfRule type="cellIs" dxfId="53" priority="7" stopIfTrue="1" operator="equal">
      <formula>$I$93</formula>
    </cfRule>
  </conditionalFormatting>
  <conditionalFormatting sqref="C1527:C1586">
    <cfRule type="cellIs" dxfId="52" priority="6" stopIfTrue="1" operator="equal">
      <formula>$I$93</formula>
    </cfRule>
  </conditionalFormatting>
  <conditionalFormatting sqref="C1616:C1675">
    <cfRule type="cellIs" dxfId="51" priority="5" stopIfTrue="1" operator="equal">
      <formula>$I$93</formula>
    </cfRule>
  </conditionalFormatting>
  <conditionalFormatting sqref="C1705:C1764">
    <cfRule type="cellIs" dxfId="50" priority="4" stopIfTrue="1" operator="equal">
      <formula>$I$93</formula>
    </cfRule>
  </conditionalFormatting>
  <conditionalFormatting sqref="C1795:C1854">
    <cfRule type="cellIs" dxfId="49" priority="3" stopIfTrue="1" operator="equal">
      <formula>$I$93</formula>
    </cfRule>
  </conditionalFormatting>
  <conditionalFormatting sqref="C1884:C1943">
    <cfRule type="cellIs" dxfId="48" priority="2" stopIfTrue="1" operator="equal">
      <formula>$I$93</formula>
    </cfRule>
  </conditionalFormatting>
  <conditionalFormatting sqref="C1973:C2032">
    <cfRule type="cellIs" dxfId="47"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1" manualBreakCount="21">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2066"/>
  <sheetViews>
    <sheetView view="pageBreakPreview" topLeftCell="A9" zoomScale="70" zoomScaleNormal="100" zoomScaleSheetLayoutView="70" workbookViewId="0">
      <selection activeCell="D1994" sqref="D1994"/>
    </sheetView>
  </sheetViews>
  <sheetFormatPr defaultColWidth="8.85546875" defaultRowHeight="12.75"/>
  <cols>
    <col min="1" max="1" width="4.5703125" style="330" customWidth="1"/>
    <col min="2" max="2" width="6.5703125" style="412" customWidth="1"/>
    <col min="3" max="3" width="32.42578125" style="330" customWidth="1"/>
    <col min="4" max="4" width="17.5703125" style="424" customWidth="1"/>
    <col min="5" max="5" width="17.5703125" style="330" customWidth="1"/>
    <col min="6" max="6" width="21.140625" style="330" customWidth="1"/>
    <col min="7" max="8" width="17.5703125" style="330" customWidth="1"/>
    <col min="9" max="9" width="17.5703125" style="589" customWidth="1"/>
    <col min="10" max="10" width="17.5703125" style="330" bestFit="1" customWidth="1"/>
    <col min="11" max="11" width="2.140625" style="314" customWidth="1"/>
    <col min="12" max="12" width="17.5703125" style="542" customWidth="1"/>
    <col min="13" max="13" width="31.85546875" style="542" customWidth="1"/>
    <col min="14" max="15" width="17.5703125" style="542" customWidth="1"/>
    <col min="16" max="16" width="16.5703125" style="542" customWidth="1"/>
    <col min="17" max="17" width="2.140625" style="542" customWidth="1"/>
    <col min="18" max="16384" width="8.85546875" style="330"/>
  </cols>
  <sheetData>
    <row r="1" spans="1:17" ht="15.75">
      <c r="A1" s="898" t="s">
        <v>114</v>
      </c>
    </row>
    <row r="2" spans="1:17" ht="15.75">
      <c r="A2" s="898" t="s">
        <v>114</v>
      </c>
    </row>
    <row r="3" spans="1:17" ht="15">
      <c r="A3" s="1687" t="s">
        <v>387</v>
      </c>
      <c r="B3" s="1687"/>
      <c r="C3" s="1687"/>
      <c r="D3" s="1687"/>
      <c r="E3" s="1687"/>
      <c r="F3" s="1687"/>
      <c r="G3" s="1687"/>
      <c r="H3" s="1687"/>
      <c r="I3" s="1687"/>
      <c r="J3" s="1687"/>
      <c r="K3" s="1687"/>
      <c r="L3" s="1687"/>
      <c r="M3" s="1687"/>
      <c r="N3" s="1687"/>
      <c r="O3" s="1687"/>
      <c r="P3" s="1687"/>
      <c r="Q3" s="588"/>
    </row>
    <row r="4" spans="1:17" ht="15">
      <c r="A4" s="1688" t="str">
        <f>"Cost of Service Formula Rate Using "&amp;TCOS!L4&amp;" FF1 Balances"</f>
        <v>Cost of Service Formula Rate Using 2021 FF1 Balances</v>
      </c>
      <c r="B4" s="1688"/>
      <c r="C4" s="1688"/>
      <c r="D4" s="1688"/>
      <c r="E4" s="1688"/>
      <c r="F4" s="1688"/>
      <c r="G4" s="1688"/>
      <c r="H4" s="1688"/>
      <c r="I4" s="1688"/>
      <c r="J4" s="1688"/>
      <c r="K4" s="1688"/>
      <c r="L4" s="1688"/>
      <c r="M4" s="1688"/>
      <c r="N4" s="1688"/>
      <c r="O4" s="1688"/>
      <c r="P4" s="1688"/>
      <c r="Q4" s="588"/>
    </row>
    <row r="5" spans="1:17" ht="15">
      <c r="A5" s="1688" t="s">
        <v>469</v>
      </c>
      <c r="B5" s="1688"/>
      <c r="C5" s="1688"/>
      <c r="D5" s="1688"/>
      <c r="E5" s="1688"/>
      <c r="F5" s="1688"/>
      <c r="G5" s="1688"/>
      <c r="H5" s="1688"/>
      <c r="I5" s="1688"/>
      <c r="J5" s="1688"/>
      <c r="K5" s="1688"/>
      <c r="L5" s="1688"/>
      <c r="M5" s="1688"/>
      <c r="N5" s="1688"/>
      <c r="O5" s="1688"/>
      <c r="P5" s="1688"/>
      <c r="Q5" s="588"/>
    </row>
    <row r="6" spans="1:17" ht="15">
      <c r="A6" s="1689" t="str">
        <f>TCOS!F9</f>
        <v>Ohio Power Company</v>
      </c>
      <c r="B6" s="1689"/>
      <c r="C6" s="1689"/>
      <c r="D6" s="1689"/>
      <c r="E6" s="1689"/>
      <c r="F6" s="1689"/>
      <c r="G6" s="1689"/>
      <c r="H6" s="1689"/>
      <c r="I6" s="1689"/>
      <c r="J6" s="1689"/>
      <c r="K6" s="1689"/>
      <c r="L6" s="1689"/>
      <c r="M6" s="1689"/>
      <c r="N6" s="1689"/>
      <c r="O6" s="1689"/>
      <c r="P6" s="1689"/>
      <c r="Q6" s="588"/>
    </row>
    <row r="7" spans="1:17">
      <c r="Q7" s="588"/>
    </row>
    <row r="8" spans="1:17" ht="20.25">
      <c r="A8" s="590"/>
      <c r="C8" s="412"/>
      <c r="O8" s="591" t="str">
        <f>"Page "&amp;Q8&amp;" of "</f>
        <v xml:space="preserve">Page 1 of </v>
      </c>
      <c r="P8" s="592">
        <f>COUNT(Q$8:Q$58212)</f>
        <v>23</v>
      </c>
      <c r="Q8" s="593">
        <v>1</v>
      </c>
    </row>
    <row r="9" spans="1:17" ht="18">
      <c r="C9" s="594"/>
      <c r="Q9" s="588"/>
    </row>
    <row r="10" spans="1:17">
      <c r="Q10" s="588"/>
    </row>
    <row r="11" spans="1:17" ht="18">
      <c r="B11" s="595" t="s">
        <v>171</v>
      </c>
      <c r="C11" s="1714" t="str">
        <f>"Calculate Return and Income Taxes with "&amp;F17&amp;" basis point ROE increase for Projects Qualified for Regional Billing."</f>
        <v>Calculate Return and Income Taxes with 0 basis point ROE increase for Projects Qualified for Regional Billing.</v>
      </c>
      <c r="D11" s="1715"/>
      <c r="E11" s="1715"/>
      <c r="F11" s="1715"/>
      <c r="G11" s="1715"/>
      <c r="H11" s="1715"/>
      <c r="I11" s="1715"/>
      <c r="Q11" s="588"/>
    </row>
    <row r="12" spans="1:17" ht="18.75" customHeight="1">
      <c r="C12" s="1715"/>
      <c r="D12" s="1715"/>
      <c r="E12" s="1715"/>
      <c r="F12" s="1715"/>
      <c r="G12" s="1715"/>
      <c r="H12" s="1715"/>
      <c r="I12" s="1715"/>
      <c r="Q12" s="588"/>
    </row>
    <row r="13" spans="1:17" ht="15.75" customHeight="1">
      <c r="C13" s="529"/>
      <c r="D13" s="529"/>
      <c r="E13" s="529"/>
      <c r="F13" s="529"/>
      <c r="G13" s="529"/>
      <c r="H13" s="529"/>
      <c r="I13" s="529"/>
      <c r="Q13" s="588"/>
    </row>
    <row r="14" spans="1:17" ht="15.75">
      <c r="C14" s="596" t="str">
        <f>"A.   Determine 'R' with hypothetical "&amp;F17&amp;" basis point increase in ROE for Identified Projects"</f>
        <v>A.   Determine 'R' with hypothetical 0 basis point increase in ROE for Identified Projects</v>
      </c>
      <c r="D14" s="379"/>
      <c r="Q14" s="588"/>
    </row>
    <row r="15" spans="1:17">
      <c r="C15" s="368"/>
      <c r="D15" s="379"/>
      <c r="Q15" s="588"/>
    </row>
    <row r="16" spans="1:17">
      <c r="C16" s="597" t="str">
        <f>"   ROE w/o incentives  (TCOS, ln "&amp;TCOS!B257&amp;")"</f>
        <v xml:space="preserve">   ROE w/o incentives  (TCOS, ln 156)</v>
      </c>
      <c r="D16" s="379"/>
      <c r="E16" s="598"/>
      <c r="F16" s="737">
        <f>TCOS!J257</f>
        <v>0.10349999999999999</v>
      </c>
      <c r="G16" s="737"/>
      <c r="H16" s="598"/>
      <c r="I16" s="600"/>
      <c r="J16" s="600"/>
      <c r="K16" s="601"/>
      <c r="L16" s="600"/>
      <c r="M16" s="600"/>
      <c r="N16" s="600"/>
      <c r="O16" s="600"/>
      <c r="P16" s="600"/>
      <c r="Q16" s="601"/>
    </row>
    <row r="17" spans="3:17" ht="13.5" thickBot="1">
      <c r="C17" s="619" t="s">
        <v>252</v>
      </c>
      <c r="D17" s="379"/>
      <c r="E17" s="598"/>
      <c r="F17" s="862">
        <v>0</v>
      </c>
      <c r="G17" s="598"/>
      <c r="H17" s="598"/>
      <c r="I17" s="600"/>
      <c r="J17" s="600"/>
      <c r="K17" s="601"/>
      <c r="L17" s="600"/>
      <c r="M17" s="600"/>
      <c r="N17" s="600"/>
      <c r="O17" s="600"/>
      <c r="P17" s="600"/>
      <c r="Q17" s="601"/>
    </row>
    <row r="18" spans="3:17">
      <c r="C18" s="619" t="str">
        <f>"   ROE with additional "&amp;F17&amp;" basis point incentive"</f>
        <v xml:space="preserve">   ROE with additional 0 basis point incentive</v>
      </c>
      <c r="D18" s="598"/>
      <c r="E18" s="598"/>
      <c r="F18" s="603">
        <f>IF((F16+(F17/10000)&gt;0.125),"ERROR",F16+(F17/10000))</f>
        <v>0.10349999999999999</v>
      </c>
      <c r="G18" s="604"/>
      <c r="H18" s="598"/>
      <c r="I18" s="600"/>
      <c r="J18" s="600"/>
      <c r="K18" s="601"/>
      <c r="L18" s="738" t="s">
        <v>454</v>
      </c>
      <c r="M18" s="739"/>
      <c r="N18" s="739"/>
      <c r="O18" s="739"/>
      <c r="P18" s="740"/>
      <c r="Q18" s="601"/>
    </row>
    <row r="19" spans="3:17">
      <c r="C19" s="59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9"/>
      <c r="E19" s="598"/>
      <c r="F19" s="605"/>
      <c r="G19" s="605"/>
      <c r="H19" s="598"/>
      <c r="I19" s="600"/>
      <c r="J19" s="600"/>
      <c r="K19" s="601"/>
      <c r="L19" s="741"/>
      <c r="M19" s="601"/>
      <c r="N19" s="601" t="s">
        <v>254</v>
      </c>
      <c r="O19" s="601" t="s">
        <v>255</v>
      </c>
      <c r="P19" s="742" t="s">
        <v>256</v>
      </c>
      <c r="Q19" s="601"/>
    </row>
    <row r="20" spans="3:17">
      <c r="C20" s="601"/>
      <c r="D20" s="606" t="s">
        <v>146</v>
      </c>
      <c r="E20" s="606" t="s">
        <v>145</v>
      </c>
      <c r="F20" s="607" t="s">
        <v>253</v>
      </c>
      <c r="G20" s="607"/>
      <c r="H20" s="598"/>
      <c r="I20" s="600"/>
      <c r="J20" s="600"/>
      <c r="K20" s="601"/>
      <c r="L20" s="741" t="s">
        <v>452</v>
      </c>
      <c r="M20" s="743">
        <f>+TCOS!L4</f>
        <v>2021</v>
      </c>
      <c r="N20" s="588"/>
      <c r="O20" s="588"/>
      <c r="P20" s="744"/>
      <c r="Q20" s="601"/>
    </row>
    <row r="21" spans="3:17">
      <c r="C21" s="608" t="s">
        <v>257</v>
      </c>
      <c r="D21" s="745">
        <f>TCOS!I255</f>
        <v>0.51428850159486705</v>
      </c>
      <c r="E21" s="610">
        <f>TCOS!J255</f>
        <v>4.3293695611723727E-2</v>
      </c>
      <c r="F21" s="611">
        <f>E21*D21</f>
        <v>2.2265449844657666E-2</v>
      </c>
      <c r="G21" s="611"/>
      <c r="H21" s="598"/>
      <c r="I21" s="600"/>
      <c r="J21" s="612"/>
      <c r="K21" s="613"/>
      <c r="L21" s="746"/>
      <c r="M21" s="747" t="s">
        <v>453</v>
      </c>
      <c r="N21" s="871">
        <f>M90+M177+M263+M349+M435+M521+M607+M695+M783+M869+M955+M1041+M1127+M1213+M1299+M1385+M1471+M1557+M1643+M1729+M1815+M1901+M1988</f>
        <v>9544412.5214815084</v>
      </c>
      <c r="O21" s="871">
        <f>N90+N177+N263+N349+N435+N521+N607+N695+N783+N869+N955+N1041+N1127+N1213+N1299+N1385+N1471+N1557+N1643+N1729+N1815+N1901+N1988</f>
        <v>9544412.5214815084</v>
      </c>
      <c r="P21" s="748">
        <f>+O21-N21</f>
        <v>0</v>
      </c>
      <c r="Q21" s="613"/>
    </row>
    <row r="22" spans="3:17" ht="13.5" thickBot="1">
      <c r="C22" s="608" t="s">
        <v>258</v>
      </c>
      <c r="D22" s="745">
        <f>TCOS!I256</f>
        <v>0</v>
      </c>
      <c r="E22" s="610">
        <f>TCOS!J256</f>
        <v>0</v>
      </c>
      <c r="F22" s="611">
        <f>E22*D22</f>
        <v>0</v>
      </c>
      <c r="G22" s="611"/>
      <c r="H22" s="614"/>
      <c r="I22" s="614"/>
      <c r="J22" s="615"/>
      <c r="K22" s="616"/>
      <c r="L22" s="746"/>
      <c r="M22" s="747" t="s">
        <v>259</v>
      </c>
      <c r="N22" s="871">
        <f>M91+M178+M264+M350+M436+M522+M608+M696+M784+M870+M956+M1042+M1128+M1214+M1300+M1386+M1472+M1558+M1644+M1730+M1816+M1902+M1989</f>
        <v>10107943.390164027</v>
      </c>
      <c r="O22" s="871">
        <f>N91+N178+N264+N350+N436+N522+N608+N696+N784+N870+N956+N1042+N1128+N1214+N1300+N1386+N1472+N1558+N1644+N1730+N1816+N1902+N1989</f>
        <v>10107943.390164027</v>
      </c>
      <c r="P22" s="749">
        <f>+O22-N22</f>
        <v>0</v>
      </c>
      <c r="Q22" s="616"/>
    </row>
    <row r="23" spans="3:17">
      <c r="C23" s="617" t="s">
        <v>244</v>
      </c>
      <c r="D23" s="745">
        <f>TCOS!I257</f>
        <v>0.48571149840513289</v>
      </c>
      <c r="E23" s="610">
        <f>+F18</f>
        <v>0.10349999999999999</v>
      </c>
      <c r="F23" s="618">
        <f>E23*D23</f>
        <v>5.0271140084931248E-2</v>
      </c>
      <c r="G23" s="618"/>
      <c r="H23" s="614"/>
      <c r="I23" s="614"/>
      <c r="J23" s="615"/>
      <c r="K23" s="616"/>
      <c r="L23" s="746"/>
      <c r="M23" s="747" t="str">
        <f>"True-up of ARR For "&amp;TCOS!L4&amp;""</f>
        <v>True-up of ARR For 2021</v>
      </c>
      <c r="N23" s="673">
        <f>+N22-N21</f>
        <v>563530.8686825186</v>
      </c>
      <c r="O23" s="673">
        <f>+O22-O21</f>
        <v>563530.8686825186</v>
      </c>
      <c r="P23" s="750">
        <f>+P22-P21</f>
        <v>0</v>
      </c>
      <c r="Q23" s="616"/>
    </row>
    <row r="24" spans="3:17">
      <c r="C24" s="619"/>
      <c r="D24" s="330"/>
      <c r="E24" s="620" t="s">
        <v>260</v>
      </c>
      <c r="F24" s="611">
        <f>SUM(F21:F23)</f>
        <v>7.2536589929588918E-2</v>
      </c>
      <c r="G24" s="611"/>
      <c r="H24" s="614"/>
      <c r="I24" s="614"/>
      <c r="J24" s="615"/>
      <c r="K24" s="616"/>
      <c r="L24" s="746"/>
      <c r="M24" s="588"/>
      <c r="N24" s="588"/>
      <c r="O24" s="588"/>
      <c r="P24" s="744"/>
      <c r="Q24" s="616"/>
    </row>
    <row r="25" spans="3:17" ht="13.5" thickBot="1">
      <c r="C25" s="368"/>
      <c r="D25" s="625"/>
      <c r="E25" s="625"/>
      <c r="F25" s="614"/>
      <c r="G25" s="614"/>
      <c r="H25" s="614"/>
      <c r="I25" s="614"/>
      <c r="J25" s="614"/>
      <c r="K25" s="626"/>
      <c r="L25" s="751"/>
      <c r="M25" s="752"/>
      <c r="N25" s="753"/>
      <c r="O25" s="753"/>
      <c r="P25" s="749"/>
      <c r="Q25" s="626"/>
    </row>
    <row r="26" spans="3:17" ht="15.75">
      <c r="C26" s="596" t="str">
        <f>"B.   Determine Return using 'R' with hypothetical "&amp;F17&amp;" basis point ROE increase for Identified Projects."</f>
        <v>B.   Determine Return using 'R' with hypothetical 0 basis point ROE increase for Identified Projects.</v>
      </c>
      <c r="D26" s="625"/>
      <c r="E26" s="625"/>
      <c r="F26" s="630"/>
      <c r="G26" s="630"/>
      <c r="H26" s="614"/>
      <c r="I26" s="598"/>
      <c r="J26" s="614"/>
      <c r="K26" s="626"/>
      <c r="L26" s="614"/>
      <c r="M26" s="614"/>
      <c r="N26" s="614"/>
      <c r="O26" s="614"/>
      <c r="P26" s="614"/>
      <c r="Q26" s="626"/>
    </row>
    <row r="27" spans="3:17">
      <c r="C27" s="601"/>
      <c r="D27" s="625"/>
      <c r="E27" s="625"/>
      <c r="F27" s="626"/>
      <c r="G27" s="626"/>
      <c r="H27" s="626"/>
      <c r="I27" s="626"/>
      <c r="J27" s="626"/>
      <c r="K27" s="626"/>
      <c r="L27" s="626"/>
      <c r="M27" s="626"/>
      <c r="N27" s="626"/>
      <c r="O27" s="626"/>
      <c r="P27" s="626"/>
      <c r="Q27" s="626"/>
    </row>
    <row r="28" spans="3:17">
      <c r="C28" s="635" t="str">
        <f>"   Rate Base  (TCOS, ln "&amp;TCOS!B125&amp;")"</f>
        <v xml:space="preserve">   Rate Base  (TCOS, ln 68)</v>
      </c>
      <c r="D28" s="598"/>
      <c r="E28" s="636">
        <f>TCOS!L125</f>
        <v>1679363592.0516403</v>
      </c>
      <c r="F28" s="754"/>
      <c r="G28" s="754"/>
      <c r="H28" s="626"/>
      <c r="I28" s="626"/>
      <c r="J28" s="626"/>
      <c r="K28" s="626"/>
      <c r="L28" s="626"/>
      <c r="M28" s="626"/>
      <c r="N28" s="626"/>
      <c r="O28" s="626"/>
      <c r="P28" s="754"/>
      <c r="Q28" s="626"/>
    </row>
    <row r="29" spans="3:17">
      <c r="C29" s="601" t="s">
        <v>474</v>
      </c>
      <c r="D29" s="638"/>
      <c r="E29" s="611">
        <f>F24</f>
        <v>7.2536589929588918E-2</v>
      </c>
      <c r="F29" s="626"/>
      <c r="G29" s="626"/>
      <c r="H29" s="626"/>
      <c r="I29" s="626"/>
      <c r="J29" s="626"/>
      <c r="K29" s="626"/>
      <c r="L29" s="626"/>
      <c r="M29" s="626"/>
      <c r="N29" s="626"/>
      <c r="O29" s="626"/>
      <c r="P29" s="626"/>
      <c r="Q29" s="626"/>
    </row>
    <row r="30" spans="3:17">
      <c r="C30" s="639" t="s">
        <v>262</v>
      </c>
      <c r="D30" s="639"/>
      <c r="E30" s="615">
        <f>E28*E29</f>
        <v>121815308.21933128</v>
      </c>
      <c r="F30" s="626"/>
      <c r="G30" s="626"/>
      <c r="H30" s="626"/>
      <c r="I30" s="626"/>
      <c r="J30" s="616"/>
      <c r="K30" s="616"/>
      <c r="L30" s="616"/>
      <c r="M30" s="616"/>
      <c r="N30" s="616"/>
      <c r="O30" s="616"/>
      <c r="P30" s="626"/>
      <c r="Q30" s="616"/>
    </row>
    <row r="31" spans="3:17">
      <c r="C31" s="640"/>
      <c r="D31" s="600"/>
      <c r="E31" s="600"/>
      <c r="F31" s="626"/>
      <c r="G31" s="626"/>
      <c r="H31" s="626"/>
      <c r="I31" s="626"/>
      <c r="J31" s="616"/>
      <c r="K31" s="616"/>
      <c r="L31" s="616"/>
      <c r="M31" s="616"/>
      <c r="N31" s="616"/>
      <c r="O31" s="616"/>
      <c r="P31" s="626"/>
      <c r="Q31" s="616"/>
    </row>
    <row r="32" spans="3:17" ht="15.75">
      <c r="C32" s="596" t="str">
        <f>"C.   Determine Income Taxes using Return with hypothetical "&amp;F17&amp;" basis point ROE increase for Identified Projects."</f>
        <v>C.   Determine Income Taxes using Return with hypothetical 0 basis point ROE increase for Identified Projects.</v>
      </c>
      <c r="D32" s="641"/>
      <c r="E32" s="641"/>
      <c r="F32" s="642"/>
      <c r="G32" s="642"/>
      <c r="H32" s="642"/>
      <c r="I32" s="642"/>
      <c r="J32" s="643"/>
      <c r="K32" s="643"/>
      <c r="L32" s="643"/>
      <c r="M32" s="643"/>
      <c r="N32" s="643"/>
      <c r="O32" s="643"/>
      <c r="P32" s="642"/>
      <c r="Q32" s="643"/>
    </row>
    <row r="33" spans="2:17">
      <c r="C33" s="619"/>
      <c r="D33" s="600"/>
      <c r="E33" s="600"/>
      <c r="F33" s="626"/>
      <c r="G33" s="626"/>
      <c r="H33" s="626"/>
      <c r="I33" s="626"/>
      <c r="J33" s="616"/>
      <c r="K33" s="616"/>
      <c r="L33" s="616"/>
      <c r="M33" s="616"/>
      <c r="N33" s="616"/>
      <c r="O33" s="616"/>
      <c r="P33" s="626"/>
      <c r="Q33" s="616"/>
    </row>
    <row r="34" spans="2:17">
      <c r="C34" s="601" t="s">
        <v>263</v>
      </c>
      <c r="D34" s="620"/>
      <c r="E34" s="644">
        <f>E30</f>
        <v>121815308.21933128</v>
      </c>
      <c r="F34" s="626"/>
      <c r="G34" s="626"/>
      <c r="H34" s="626"/>
      <c r="I34" s="626"/>
      <c r="J34" s="626"/>
      <c r="K34" s="626"/>
      <c r="L34" s="626"/>
      <c r="M34" s="626"/>
      <c r="N34" s="626"/>
      <c r="O34" s="626"/>
      <c r="P34" s="626"/>
      <c r="Q34" s="626"/>
    </row>
    <row r="35" spans="2:17">
      <c r="C35" s="635" t="str">
        <f>"   Effective Tax Rate  (TCOS, ln "&amp;TCOS!B190&amp;")"</f>
        <v xml:space="preserve">   Effective Tax Rate  (TCOS, ln 114)</v>
      </c>
      <c r="D35" s="563"/>
      <c r="E35" s="645">
        <f>TCOS!G190</f>
        <v>0.19515114964280481</v>
      </c>
      <c r="F35" s="542"/>
      <c r="G35" s="542"/>
      <c r="H35" s="542"/>
      <c r="I35" s="646"/>
      <c r="J35" s="542"/>
      <c r="K35" s="588"/>
      <c r="Q35" s="588"/>
    </row>
    <row r="36" spans="2:17">
      <c r="C36" s="640" t="s">
        <v>264</v>
      </c>
      <c r="D36" s="563"/>
      <c r="E36" s="647">
        <f>E34*E35</f>
        <v>23772397.44309511</v>
      </c>
      <c r="F36" s="542"/>
      <c r="G36" s="542"/>
      <c r="H36" s="542"/>
      <c r="I36" s="646"/>
      <c r="J36" s="542"/>
      <c r="K36" s="588"/>
      <c r="Q36" s="588"/>
    </row>
    <row r="37" spans="2:17" ht="15">
      <c r="C37" s="619" t="s">
        <v>302</v>
      </c>
      <c r="D37" s="476"/>
      <c r="E37" s="648">
        <f>TCOS!L199</f>
        <v>0</v>
      </c>
      <c r="F37" s="476"/>
      <c r="G37" s="476"/>
      <c r="H37" s="476"/>
      <c r="I37" s="476"/>
      <c r="J37" s="476"/>
      <c r="K37" s="476"/>
      <c r="L37" s="476"/>
      <c r="M37" s="476"/>
      <c r="N37" s="476"/>
      <c r="O37" s="476"/>
      <c r="P37" s="388"/>
      <c r="Q37" s="476"/>
    </row>
    <row r="38" spans="2:17" ht="15">
      <c r="C38" s="619" t="s">
        <v>532</v>
      </c>
      <c r="D38" s="476"/>
      <c r="E38" s="648">
        <f>TCOS!L200</f>
        <v>-9948591.9091052748</v>
      </c>
      <c r="F38" s="476"/>
      <c r="G38" s="476"/>
      <c r="H38" s="476"/>
      <c r="I38" s="476"/>
      <c r="J38" s="476"/>
      <c r="K38" s="476"/>
      <c r="L38" s="476"/>
      <c r="M38" s="476"/>
      <c r="N38" s="476"/>
      <c r="O38" s="476"/>
      <c r="P38" s="388"/>
      <c r="Q38" s="476"/>
    </row>
    <row r="39" spans="2:17" ht="15">
      <c r="C39" s="619" t="s">
        <v>533</v>
      </c>
      <c r="D39" s="476"/>
      <c r="E39" s="649">
        <f>TCOS!L201</f>
        <v>1174989.2048891592</v>
      </c>
      <c r="F39" s="476"/>
      <c r="G39" s="476"/>
      <c r="H39" s="476"/>
      <c r="I39" s="476"/>
      <c r="J39" s="476"/>
      <c r="K39" s="476"/>
      <c r="L39" s="476"/>
      <c r="M39" s="476"/>
      <c r="N39" s="476"/>
      <c r="O39" s="476"/>
      <c r="P39" s="388"/>
      <c r="Q39" s="476"/>
    </row>
    <row r="40" spans="2:17" ht="15">
      <c r="C40" s="640" t="s">
        <v>265</v>
      </c>
      <c r="D40" s="476"/>
      <c r="E40" s="648">
        <f>E36+E37+E38+E39</f>
        <v>14998794.738878995</v>
      </c>
      <c r="F40" s="476"/>
      <c r="G40" s="476"/>
      <c r="H40" s="476"/>
      <c r="I40" s="476"/>
      <c r="J40" s="476"/>
      <c r="K40" s="476"/>
      <c r="L40" s="476"/>
      <c r="M40" s="476"/>
      <c r="N40" s="476"/>
      <c r="O40" s="476"/>
      <c r="P40" s="346"/>
      <c r="Q40" s="476"/>
    </row>
    <row r="41" spans="2:17" ht="12.75" customHeight="1">
      <c r="C41" s="396"/>
      <c r="D41" s="476"/>
      <c r="E41" s="476"/>
      <c r="F41" s="476"/>
      <c r="G41" s="476"/>
      <c r="H41" s="476"/>
      <c r="I41" s="476"/>
      <c r="J41" s="476"/>
      <c r="K41" s="476"/>
      <c r="L41" s="476"/>
      <c r="M41" s="476"/>
      <c r="N41" s="476"/>
      <c r="O41" s="476"/>
      <c r="P41" s="346"/>
      <c r="Q41" s="476"/>
    </row>
    <row r="42" spans="2:17" ht="18.75">
      <c r="B42" s="595" t="s">
        <v>172</v>
      </c>
      <c r="C42" s="594" t="str">
        <f>"Calculate Net Plant Carrying Charge Rate (Fixed Charge Rate or FCR) with hypothetical "&amp;F17&amp;""</f>
        <v>Calculate Net Plant Carrying Charge Rate (Fixed Charge Rate or FCR) with hypothetical 0</v>
      </c>
      <c r="D42" s="476"/>
      <c r="E42" s="476"/>
      <c r="F42" s="476"/>
      <c r="G42" s="476"/>
      <c r="H42" s="476"/>
      <c r="I42" s="476"/>
      <c r="J42" s="476"/>
      <c r="K42" s="476"/>
      <c r="L42" s="476"/>
      <c r="M42" s="476"/>
      <c r="N42" s="476"/>
      <c r="O42" s="476"/>
      <c r="P42" s="346"/>
      <c r="Q42" s="476"/>
    </row>
    <row r="43" spans="2:17" ht="18.75" customHeight="1">
      <c r="C43" s="594" t="str">
        <f>"basis point ROE increase."</f>
        <v>basis point ROE increase.</v>
      </c>
      <c r="D43" s="476"/>
      <c r="E43" s="476"/>
      <c r="F43" s="476"/>
      <c r="G43" s="476"/>
      <c r="H43" s="476"/>
      <c r="I43" s="476"/>
      <c r="J43" s="476"/>
      <c r="K43" s="476"/>
      <c r="L43" s="476"/>
      <c r="M43" s="476"/>
      <c r="N43" s="476"/>
      <c r="O43" s="476"/>
      <c r="P43" s="346"/>
      <c r="Q43" s="476"/>
    </row>
    <row r="44" spans="2:17" ht="12.75" customHeight="1">
      <c r="C44" s="594"/>
      <c r="D44" s="476"/>
      <c r="E44" s="476"/>
      <c r="F44" s="476"/>
      <c r="G44" s="476"/>
      <c r="H44" s="476"/>
      <c r="I44" s="476"/>
      <c r="J44" s="476"/>
      <c r="K44" s="476"/>
      <c r="L44" s="476"/>
      <c r="M44" s="476"/>
      <c r="N44" s="476"/>
      <c r="O44" s="476"/>
      <c r="P44" s="346"/>
      <c r="Q44" s="476"/>
    </row>
    <row r="45" spans="2:17" ht="15.75">
      <c r="C45" s="596" t="s">
        <v>465</v>
      </c>
      <c r="D45" s="476"/>
      <c r="E45" s="476"/>
      <c r="F45" s="475"/>
      <c r="G45" s="475"/>
      <c r="H45" s="476"/>
      <c r="I45" s="476"/>
      <c r="J45" s="476"/>
      <c r="K45" s="476"/>
      <c r="L45" s="476"/>
      <c r="M45" s="476"/>
      <c r="N45" s="476"/>
      <c r="O45" s="476"/>
      <c r="P45" s="346"/>
      <c r="Q45" s="476"/>
    </row>
    <row r="46" spans="2:17">
      <c r="B46" s="576"/>
      <c r="C46" s="597"/>
      <c r="D46" s="650"/>
      <c r="E46" s="650"/>
      <c r="F46" s="650"/>
      <c r="G46" s="650"/>
      <c r="H46" s="650"/>
      <c r="I46" s="650"/>
      <c r="J46" s="650"/>
      <c r="K46" s="650"/>
      <c r="L46" s="650"/>
      <c r="M46" s="650"/>
      <c r="N46" s="650"/>
      <c r="O46" s="650"/>
      <c r="P46" s="648"/>
      <c r="Q46" s="650"/>
    </row>
    <row r="47" spans="2:17" ht="12.75" customHeight="1">
      <c r="B47" s="576"/>
      <c r="C47" s="635" t="str">
        <f>"   Annual Revenue Requirement  (TCOS, ln "&amp;TCOS!B13&amp;")"</f>
        <v xml:space="preserve">   Annual Revenue Requirement  (TCOS, ln 1)</v>
      </c>
      <c r="D47" s="650"/>
      <c r="E47" s="650"/>
      <c r="F47" s="648">
        <f>TCOS!L13</f>
        <v>376991605.33779609</v>
      </c>
      <c r="G47" s="648"/>
      <c r="H47" s="755" t="s">
        <v>114</v>
      </c>
      <c r="I47" s="650"/>
      <c r="J47" s="650"/>
      <c r="K47" s="650"/>
      <c r="L47" s="650"/>
      <c r="M47" s="650"/>
      <c r="N47" s="650"/>
      <c r="O47" s="650"/>
      <c r="P47" s="648"/>
      <c r="Q47" s="650"/>
    </row>
    <row r="48" spans="2:17" ht="12.75" customHeight="1">
      <c r="B48" s="576"/>
      <c r="C48" s="635" t="str">
        <f>"   Lease Payments (TCOS, Ln "&amp;TCOS!B168&amp;")"</f>
        <v xml:space="preserve">   Lease Payments (TCOS, Ln 95)</v>
      </c>
      <c r="D48" s="650"/>
      <c r="E48" s="650"/>
      <c r="F48" s="648">
        <f>TCOS!L168</f>
        <v>2728223</v>
      </c>
      <c r="G48" s="648"/>
      <c r="H48" s="755"/>
      <c r="I48" s="650"/>
      <c r="J48" s="650"/>
      <c r="K48" s="650"/>
      <c r="L48" s="650"/>
      <c r="M48" s="650"/>
      <c r="N48" s="650"/>
      <c r="O48" s="650"/>
      <c r="P48" s="648"/>
      <c r="Q48" s="650"/>
    </row>
    <row r="49" spans="2:17">
      <c r="B49" s="576"/>
      <c r="C49" s="635" t="str">
        <f>"   Return  (TCOS, ln "&amp;TCOS!B205&amp;")"</f>
        <v xml:space="preserve">   Return  (TCOS, ln 126)</v>
      </c>
      <c r="D49" s="650"/>
      <c r="E49" s="650"/>
      <c r="F49" s="651">
        <f>TCOS!L205</f>
        <v>121815308.21933128</v>
      </c>
      <c r="G49" s="651"/>
      <c r="H49" s="652"/>
      <c r="I49" s="652"/>
      <c r="J49" s="652"/>
      <c r="K49" s="652"/>
      <c r="L49" s="652"/>
      <c r="M49" s="652"/>
      <c r="N49" s="652"/>
      <c r="O49" s="652"/>
      <c r="P49" s="648"/>
      <c r="Q49" s="652"/>
    </row>
    <row r="50" spans="2:17">
      <c r="B50" s="576"/>
      <c r="C50" s="635" t="str">
        <f>"   Income Taxes  (TCOS, ln "&amp;TCOS!B203&amp;")"</f>
        <v xml:space="preserve">   Income Taxes  (TCOS, ln 125)</v>
      </c>
      <c r="D50" s="650"/>
      <c r="E50" s="650"/>
      <c r="F50" s="653">
        <f>TCOS!L203</f>
        <v>14998794.738878995</v>
      </c>
      <c r="G50" s="653"/>
      <c r="H50" s="650"/>
      <c r="I50" s="650"/>
      <c r="J50" s="654"/>
      <c r="K50" s="654"/>
      <c r="L50" s="654"/>
      <c r="M50" s="654"/>
      <c r="N50" s="654"/>
      <c r="O50" s="654"/>
      <c r="P50" s="650"/>
      <c r="Q50" s="654"/>
    </row>
    <row r="51" spans="2:17">
      <c r="B51" s="576"/>
      <c r="C51" s="1716" t="s">
        <v>589</v>
      </c>
      <c r="D51" s="1715"/>
      <c r="E51" s="650"/>
      <c r="F51" s="651">
        <f>F47-F49-F50-F48</f>
        <v>237449279.37958583</v>
      </c>
      <c r="G51" s="651"/>
      <c r="H51" s="656"/>
      <c r="I51" s="650"/>
      <c r="J51" s="656"/>
      <c r="K51" s="656"/>
      <c r="L51" s="656"/>
      <c r="M51" s="656"/>
      <c r="N51" s="656"/>
      <c r="O51" s="656"/>
      <c r="P51" s="656"/>
      <c r="Q51" s="656"/>
    </row>
    <row r="52" spans="2:17">
      <c r="B52" s="576"/>
      <c r="C52" s="1715"/>
      <c r="D52" s="1715"/>
      <c r="E52" s="650"/>
      <c r="F52" s="648"/>
      <c r="G52" s="648"/>
      <c r="H52" s="657"/>
      <c r="I52" s="658"/>
      <c r="J52" s="658"/>
      <c r="K52" s="658"/>
      <c r="L52" s="658"/>
      <c r="M52" s="658"/>
      <c r="N52" s="658"/>
      <c r="O52" s="658"/>
      <c r="P52" s="658"/>
      <c r="Q52" s="658"/>
    </row>
    <row r="53" spans="2:17" ht="15.75">
      <c r="B53" s="576"/>
      <c r="C53" s="596" t="str">
        <f>"B.   Determine Annual Revenue Requirement with hypothetical "&amp;F17&amp;" basis point increase in ROE."</f>
        <v>B.   Determine Annual Revenue Requirement with hypothetical 0 basis point increase in ROE.</v>
      </c>
      <c r="D53" s="659"/>
      <c r="E53" s="659"/>
      <c r="F53" s="648"/>
      <c r="G53" s="648"/>
      <c r="H53" s="657"/>
      <c r="I53" s="658"/>
      <c r="J53" s="658"/>
      <c r="K53" s="658"/>
      <c r="L53" s="658"/>
      <c r="M53" s="658"/>
      <c r="N53" s="658"/>
      <c r="O53" s="658"/>
      <c r="P53" s="658"/>
      <c r="Q53" s="658"/>
    </row>
    <row r="54" spans="2:17">
      <c r="B54" s="576"/>
      <c r="C54" s="597"/>
      <c r="D54" s="659"/>
      <c r="E54" s="659"/>
      <c r="F54" s="648"/>
      <c r="G54" s="648"/>
      <c r="H54" s="657"/>
      <c r="I54" s="658"/>
      <c r="J54" s="658"/>
      <c r="K54" s="658"/>
      <c r="L54" s="658"/>
      <c r="M54" s="658"/>
      <c r="N54" s="658"/>
      <c r="O54" s="658"/>
      <c r="P54" s="658"/>
      <c r="Q54" s="658"/>
    </row>
    <row r="55" spans="2:17">
      <c r="B55" s="576"/>
      <c r="C55" s="597" t="str">
        <f>C51</f>
        <v xml:space="preserve">   Annual Revenue Requirement, Less Lease Payments, Return and Taxes</v>
      </c>
      <c r="D55" s="659"/>
      <c r="E55" s="659"/>
      <c r="F55" s="648">
        <f>F51</f>
        <v>237449279.37958583</v>
      </c>
      <c r="G55" s="648"/>
      <c r="H55" s="650"/>
      <c r="I55" s="650"/>
      <c r="J55" s="650"/>
      <c r="K55" s="650"/>
      <c r="L55" s="650"/>
      <c r="M55" s="650"/>
      <c r="N55" s="650"/>
      <c r="O55" s="650"/>
      <c r="P55" s="660"/>
      <c r="Q55" s="650"/>
    </row>
    <row r="56" spans="2:17">
      <c r="B56" s="576"/>
      <c r="C56" s="601" t="s">
        <v>299</v>
      </c>
      <c r="D56" s="661"/>
      <c r="E56" s="655"/>
      <c r="F56" s="662">
        <f>E30</f>
        <v>121815308.21933128</v>
      </c>
      <c r="G56" s="662"/>
      <c r="H56" s="655"/>
      <c r="I56" s="663"/>
      <c r="J56" s="655"/>
      <c r="K56" s="655"/>
      <c r="L56" s="655"/>
      <c r="M56" s="655"/>
      <c r="N56" s="655"/>
      <c r="O56" s="655"/>
      <c r="P56" s="655"/>
      <c r="Q56" s="655"/>
    </row>
    <row r="57" spans="2:17" ht="12.75" customHeight="1">
      <c r="B57" s="576"/>
      <c r="C57" s="619" t="s">
        <v>266</v>
      </c>
      <c r="D57" s="650"/>
      <c r="E57" s="650"/>
      <c r="F57" s="653">
        <f>E40</f>
        <v>14998794.738878995</v>
      </c>
      <c r="G57" s="653"/>
      <c r="H57" s="542"/>
      <c r="I57" s="646"/>
      <c r="J57" s="542"/>
      <c r="K57" s="588"/>
      <c r="Q57" s="588"/>
    </row>
    <row r="58" spans="2:17">
      <c r="B58" s="576"/>
      <c r="C58" s="655" t="str">
        <f>"   Annual Revenue Requirement, with "&amp;F17&amp;" Basis Point ROE increase"</f>
        <v xml:space="preserve">   Annual Revenue Requirement, with 0 Basis Point ROE increase</v>
      </c>
      <c r="D58" s="563"/>
      <c r="E58" s="542"/>
      <c r="F58" s="647">
        <f>SUM(F55:F57)</f>
        <v>374263382.33779609</v>
      </c>
      <c r="G58" s="647"/>
      <c r="H58" s="542"/>
      <c r="I58" s="646"/>
      <c r="J58" s="542"/>
      <c r="K58" s="588"/>
      <c r="Q58" s="588"/>
    </row>
    <row r="59" spans="2:17">
      <c r="B59" s="576"/>
      <c r="C59" s="635" t="str">
        <f>"   Depreciation  (TCOS, ln "&amp;TCOS!B174&amp;")"</f>
        <v xml:space="preserve">   Depreciation  (TCOS, ln 100)</v>
      </c>
      <c r="D59" s="563"/>
      <c r="E59" s="542"/>
      <c r="F59" s="664">
        <f>TCOS!L174</f>
        <v>65699730</v>
      </c>
      <c r="G59" s="664"/>
      <c r="H59" s="647"/>
      <c r="I59" s="646"/>
      <c r="J59" s="542"/>
      <c r="K59" s="588"/>
      <c r="Q59" s="588"/>
    </row>
    <row r="60" spans="2:17">
      <c r="B60" s="576"/>
      <c r="C60" s="1716" t="str">
        <f>"   Annual Rev. Req, w/ "&amp;F17&amp;" Basis Point ROE increase, less Depreciation"</f>
        <v xml:space="preserve">   Annual Rev. Req, w/ 0 Basis Point ROE increase, less Depreciation</v>
      </c>
      <c r="D60" s="1715"/>
      <c r="E60" s="542"/>
      <c r="F60" s="647">
        <f>F58-F59</f>
        <v>308563652.33779609</v>
      </c>
      <c r="G60" s="647"/>
      <c r="H60" s="542"/>
      <c r="I60" s="646"/>
      <c r="J60" s="542"/>
      <c r="K60" s="588"/>
      <c r="Q60" s="588"/>
    </row>
    <row r="61" spans="2:17">
      <c r="B61" s="576"/>
      <c r="C61" s="1715"/>
      <c r="D61" s="1715"/>
      <c r="E61" s="542"/>
      <c r="F61" s="542"/>
      <c r="G61" s="542"/>
      <c r="H61" s="542"/>
      <c r="I61" s="646"/>
      <c r="J61" s="542"/>
      <c r="K61" s="588"/>
      <c r="Q61" s="588"/>
    </row>
    <row r="62" spans="2:17" ht="15.75">
      <c r="B62" s="576"/>
      <c r="C62" s="596" t="str">
        <f>"C.   Determine FCR with hypothetical "&amp;F17&amp;" basis point ROE increase."</f>
        <v>C.   Determine FCR with hypothetical 0 basis point ROE increase.</v>
      </c>
      <c r="D62" s="563"/>
      <c r="E62" s="542"/>
      <c r="F62" s="542"/>
      <c r="G62" s="542"/>
      <c r="H62" s="542"/>
      <c r="I62" s="646"/>
      <c r="J62" s="542"/>
      <c r="K62" s="588"/>
      <c r="Q62" s="588"/>
    </row>
    <row r="63" spans="2:17">
      <c r="B63" s="576"/>
      <c r="C63" s="542"/>
      <c r="D63" s="563"/>
      <c r="E63" s="542"/>
      <c r="F63" s="542"/>
      <c r="G63" s="542"/>
      <c r="H63" s="542"/>
      <c r="I63" s="646"/>
      <c r="J63" s="542"/>
      <c r="K63" s="588"/>
      <c r="Q63" s="588"/>
    </row>
    <row r="64" spans="2:17">
      <c r="B64" s="576"/>
      <c r="C64" s="635" t="str">
        <f>"   Net Transmission Plant  (TCOS, ln "&amp;TCOS!B91&amp;")"</f>
        <v xml:space="preserve">   Net Transmission Plant  (TCOS, ln 42)</v>
      </c>
      <c r="D64" s="563"/>
      <c r="E64" s="542"/>
      <c r="F64" s="647">
        <f>TCOS!L91</f>
        <v>2011332682.1068349</v>
      </c>
      <c r="G64" s="647"/>
      <c r="H64" s="647"/>
      <c r="I64" s="665"/>
      <c r="J64" s="542"/>
      <c r="K64" s="588"/>
      <c r="Q64" s="588"/>
    </row>
    <row r="65" spans="2:17">
      <c r="B65" s="576"/>
      <c r="C65" s="655" t="str">
        <f>"   Annual Revenue Requirement, with "&amp;F17&amp;" Basis Point ROE increase"</f>
        <v xml:space="preserve">   Annual Revenue Requirement, with 0 Basis Point ROE increase</v>
      </c>
      <c r="D65" s="563"/>
      <c r="E65" s="542"/>
      <c r="F65" s="647">
        <f>F58</f>
        <v>374263382.33779609</v>
      </c>
      <c r="G65" s="647"/>
      <c r="H65" s="542"/>
      <c r="I65" s="646"/>
      <c r="J65" s="542"/>
      <c r="K65" s="588"/>
      <c r="Q65" s="588"/>
    </row>
    <row r="66" spans="2:17">
      <c r="B66" s="576"/>
      <c r="C66" s="655" t="str">
        <f>"   FCR with "&amp;F17&amp;" Basis Point increase in ROE"</f>
        <v xml:space="preserve">   FCR with 0 Basis Point increase in ROE</v>
      </c>
      <c r="D66" s="563"/>
      <c r="E66" s="542"/>
      <c r="F66" s="645">
        <f>F65/F64</f>
        <v>0.18607731364746777</v>
      </c>
      <c r="G66" s="645"/>
      <c r="H66" s="645"/>
      <c r="I66" s="646"/>
      <c r="J66" s="542"/>
      <c r="K66" s="588"/>
      <c r="Q66" s="588"/>
    </row>
    <row r="67" spans="2:17">
      <c r="B67" s="576"/>
      <c r="C67" s="368"/>
      <c r="D67" s="563"/>
      <c r="E67" s="542"/>
      <c r="F67" s="576"/>
      <c r="G67" s="576"/>
      <c r="H67" s="542"/>
      <c r="I67" s="646"/>
      <c r="J67" s="542"/>
      <c r="K67" s="588"/>
      <c r="Q67" s="588"/>
    </row>
    <row r="68" spans="2:17">
      <c r="B68" s="576"/>
      <c r="C68" s="655" t="str">
        <f>"   Annual Rev. Req, w / "&amp;F17&amp;" Basis Point ROE increase, less Dep."</f>
        <v xml:space="preserve">   Annual Rev. Req, w / 0 Basis Point ROE increase, less Dep.</v>
      </c>
      <c r="D68" s="563"/>
      <c r="E68" s="542"/>
      <c r="F68" s="647">
        <f>F60</f>
        <v>308563652.33779609</v>
      </c>
      <c r="G68" s="647"/>
      <c r="H68" s="542"/>
      <c r="I68" s="646"/>
      <c r="J68" s="542"/>
      <c r="K68" s="588"/>
      <c r="Q68" s="588"/>
    </row>
    <row r="69" spans="2:17">
      <c r="B69" s="576"/>
      <c r="C69" s="655" t="str">
        <f>"   FCR with "&amp;F17&amp;" Basis Point ROE increase, less Depreciation"</f>
        <v xml:space="preserve">   FCR with 0 Basis Point ROE increase, less Depreciation</v>
      </c>
      <c r="D69" s="563"/>
      <c r="E69" s="542"/>
      <c r="F69" s="645">
        <f>F68/F64</f>
        <v>0.15341253840442806</v>
      </c>
      <c r="G69" s="645"/>
      <c r="H69" s="542"/>
      <c r="I69" s="646"/>
      <c r="J69" s="542"/>
      <c r="K69" s="588"/>
      <c r="Q69" s="588"/>
    </row>
    <row r="70" spans="2:17">
      <c r="B70" s="576"/>
      <c r="C70" s="635" t="str">
        <f>"   FCR less Depreciation  (TCOS, ln "&amp;TCOS!B34&amp;")"</f>
        <v xml:space="preserve">   FCR less Depreciation  (TCOS, ln 10)</v>
      </c>
      <c r="D70" s="563"/>
      <c r="E70" s="542"/>
      <c r="F70" s="666">
        <f>TCOS!L34</f>
        <v>0.15341253840442806</v>
      </c>
      <c r="G70" s="666"/>
      <c r="H70" s="542"/>
      <c r="I70" s="646"/>
      <c r="J70" s="542"/>
      <c r="K70" s="588"/>
      <c r="Q70" s="588"/>
    </row>
    <row r="71" spans="2:17">
      <c r="B71" s="576"/>
      <c r="C71" s="1716" t="str">
        <f>"   Incremental FCR with "&amp;F17&amp;" Basis Point ROE increase, less Depreciation"</f>
        <v xml:space="preserve">   Incremental FCR with 0 Basis Point ROE increase, less Depreciation</v>
      </c>
      <c r="D71" s="1715"/>
      <c r="E71" s="542"/>
      <c r="F71" s="645">
        <f>F69-F70</f>
        <v>0</v>
      </c>
      <c r="G71" s="645"/>
      <c r="H71" s="542"/>
      <c r="I71" s="646"/>
      <c r="J71" s="542"/>
      <c r="K71" s="588"/>
      <c r="Q71" s="588"/>
    </row>
    <row r="72" spans="2:17">
      <c r="B72" s="576"/>
      <c r="C72" s="1715"/>
      <c r="D72" s="1715"/>
      <c r="E72" s="542"/>
      <c r="F72" s="645"/>
      <c r="G72" s="645"/>
      <c r="H72" s="542"/>
      <c r="I72" s="646"/>
      <c r="J72" s="542"/>
      <c r="K72" s="588"/>
      <c r="Q72" s="588"/>
    </row>
    <row r="73" spans="2:17" ht="18.75">
      <c r="B73" s="595" t="s">
        <v>173</v>
      </c>
      <c r="C73" s="594" t="s">
        <v>267</v>
      </c>
      <c r="D73" s="563"/>
      <c r="E73" s="542"/>
      <c r="F73" s="645"/>
      <c r="G73" s="645"/>
      <c r="H73" s="542"/>
      <c r="I73" s="646"/>
      <c r="J73" s="542"/>
      <c r="K73" s="588"/>
      <c r="Q73" s="588"/>
    </row>
    <row r="74" spans="2:17">
      <c r="B74" s="576"/>
      <c r="C74" s="655"/>
      <c r="D74" s="563"/>
      <c r="E74" s="542"/>
      <c r="F74" s="645"/>
      <c r="G74" s="645"/>
      <c r="H74" s="542"/>
      <c r="I74" s="646"/>
      <c r="J74" s="542"/>
      <c r="K74" s="588"/>
      <c r="Q74" s="588"/>
    </row>
    <row r="75" spans="2:17">
      <c r="B75" s="576"/>
      <c r="C75" s="655" t="str">
        <f>+"Average Transmission Plant Balance for "&amp;TCOS!L4&amp;" (TCOS, ln "&amp;TCOS!B68&amp;")"</f>
        <v>Average Transmission Plant Balance for 2021 (TCOS, ln 21)</v>
      </c>
      <c r="D75" s="563"/>
      <c r="H75" s="646">
        <f>TCOS!L68</f>
        <v>2899736542.5807691</v>
      </c>
      <c r="J75" s="542"/>
      <c r="K75" s="588"/>
      <c r="Q75" s="588"/>
    </row>
    <row r="76" spans="2:17">
      <c r="B76" s="576"/>
      <c r="C76" s="667" t="str">
        <f>"Annual Depreciation and Amortization Expense (TCOS, ln "&amp;TCOS!B174&amp;")"</f>
        <v>Annual Depreciation and Amortization Expense (TCOS, ln 100)</v>
      </c>
      <c r="D76" s="563"/>
      <c r="E76" s="542"/>
      <c r="H76" s="668">
        <f>TCOS!L174</f>
        <v>65699730</v>
      </c>
      <c r="I76" s="646"/>
      <c r="J76" s="542"/>
      <c r="K76" s="588"/>
      <c r="Q76" s="588"/>
    </row>
    <row r="77" spans="2:17">
      <c r="B77" s="576"/>
      <c r="C77" s="655" t="s">
        <v>268</v>
      </c>
      <c r="D77" s="563"/>
      <c r="E77" s="542"/>
      <c r="H77" s="645">
        <f>+H76/H75</f>
        <v>2.2657137652073441E-2</v>
      </c>
      <c r="I77" s="670"/>
      <c r="J77" s="542"/>
      <c r="K77" s="588"/>
      <c r="Q77" s="588"/>
    </row>
    <row r="78" spans="2:17">
      <c r="B78" s="576"/>
      <c r="C78" s="655" t="s">
        <v>269</v>
      </c>
      <c r="D78" s="563"/>
      <c r="E78" s="542"/>
      <c r="H78" s="670">
        <f>1/H77</f>
        <v>44.136201816670614</v>
      </c>
      <c r="I78" s="646"/>
      <c r="J78" s="542"/>
      <c r="K78" s="588"/>
      <c r="Q78" s="588"/>
    </row>
    <row r="79" spans="2:17">
      <c r="B79" s="576"/>
      <c r="C79" s="655" t="s">
        <v>270</v>
      </c>
      <c r="D79" s="563"/>
      <c r="E79" s="542"/>
      <c r="H79" s="671">
        <f>ROUND(H78,0)</f>
        <v>44</v>
      </c>
      <c r="I79" s="646"/>
      <c r="J79" s="542"/>
      <c r="K79" s="588"/>
      <c r="Q79" s="588"/>
    </row>
    <row r="80" spans="2:17">
      <c r="B80" s="576"/>
      <c r="C80" s="655"/>
      <c r="D80" s="563"/>
      <c r="E80" s="542"/>
      <c r="H80" s="671"/>
      <c r="I80" s="646"/>
      <c r="J80" s="542"/>
      <c r="K80" s="588"/>
      <c r="Q80" s="588"/>
    </row>
    <row r="81" spans="1:17">
      <c r="C81" s="672"/>
      <c r="D81" s="673"/>
      <c r="E81" s="673"/>
      <c r="F81" s="673"/>
      <c r="G81" s="673"/>
      <c r="H81" s="669"/>
      <c r="I81" s="669"/>
      <c r="J81" s="674"/>
      <c r="K81" s="674"/>
      <c r="L81" s="674"/>
      <c r="M81" s="674"/>
      <c r="N81" s="674"/>
      <c r="O81" s="674"/>
      <c r="Q81" s="674"/>
    </row>
    <row r="82" spans="1:17">
      <c r="B82" s="330"/>
      <c r="C82" s="672"/>
      <c r="D82" s="673"/>
      <c r="E82" s="673"/>
      <c r="F82" s="673"/>
      <c r="G82" s="673"/>
      <c r="H82" s="669"/>
      <c r="I82" s="669"/>
      <c r="J82" s="674"/>
      <c r="K82" s="674"/>
      <c r="L82" s="674"/>
      <c r="M82" s="674"/>
      <c r="N82" s="674"/>
      <c r="O82" s="674"/>
      <c r="Q82" s="674"/>
    </row>
    <row r="83" spans="1:17" ht="20.25">
      <c r="A83" s="675" t="s">
        <v>764</v>
      </c>
      <c r="B83" s="542"/>
      <c r="C83" s="655"/>
      <c r="D83" s="563"/>
      <c r="E83" s="542"/>
      <c r="F83" s="645"/>
      <c r="G83" s="645"/>
      <c r="H83" s="542"/>
      <c r="I83" s="646"/>
      <c r="L83" s="676"/>
      <c r="M83" s="676"/>
      <c r="N83" s="676"/>
      <c r="O83" s="591" t="str">
        <f>"Page "&amp;SUM(Q$3:Q83)&amp;" of "</f>
        <v xml:space="preserve">Page 2 of </v>
      </c>
      <c r="P83" s="592">
        <f>COUNT(Q$8:Q$58212)</f>
        <v>23</v>
      </c>
      <c r="Q83" s="756">
        <v>1</v>
      </c>
    </row>
    <row r="84" spans="1:17">
      <c r="B84" s="542"/>
      <c r="C84" s="542"/>
      <c r="D84" s="563"/>
      <c r="E84" s="542"/>
      <c r="F84" s="542"/>
      <c r="G84" s="542"/>
      <c r="H84" s="542"/>
      <c r="I84" s="646"/>
      <c r="J84" s="542"/>
      <c r="K84" s="588"/>
      <c r="Q84" s="588"/>
    </row>
    <row r="85" spans="1:17" ht="18">
      <c r="B85" s="595" t="s">
        <v>174</v>
      </c>
      <c r="C85" s="677" t="s">
        <v>290</v>
      </c>
      <c r="D85" s="563"/>
      <c r="E85" s="542"/>
      <c r="F85" s="542"/>
      <c r="G85" s="542"/>
      <c r="H85" s="542"/>
      <c r="I85" s="646"/>
      <c r="J85" s="646"/>
      <c r="K85" s="669"/>
      <c r="L85" s="646"/>
      <c r="M85" s="646"/>
      <c r="N85" s="646"/>
      <c r="O85" s="646"/>
      <c r="Q85" s="669"/>
    </row>
    <row r="86" spans="1:17" ht="18.75">
      <c r="B86" s="595"/>
      <c r="C86" s="594"/>
      <c r="D86" s="563"/>
      <c r="E86" s="542"/>
      <c r="F86" s="542"/>
      <c r="G86" s="542"/>
      <c r="H86" s="542"/>
      <c r="I86" s="646"/>
      <c r="J86" s="646"/>
      <c r="K86" s="669"/>
      <c r="L86" s="646"/>
      <c r="M86" s="646"/>
      <c r="N86" s="646"/>
      <c r="O86" s="646"/>
      <c r="Q86" s="669"/>
    </row>
    <row r="87" spans="1:17" ht="18.75">
      <c r="B87" s="595"/>
      <c r="C87" s="594" t="s">
        <v>291</v>
      </c>
      <c r="D87" s="563"/>
      <c r="E87" s="542"/>
      <c r="F87" s="542"/>
      <c r="G87" s="542"/>
      <c r="H87" s="542"/>
      <c r="I87" s="646"/>
      <c r="J87" s="646"/>
      <c r="K87" s="669"/>
      <c r="L87" s="646"/>
      <c r="M87" s="646"/>
      <c r="N87" s="646"/>
      <c r="O87" s="646"/>
      <c r="Q87" s="669"/>
    </row>
    <row r="88" spans="1:17" ht="15.75" thickBot="1">
      <c r="B88" s="330"/>
      <c r="C88" s="396"/>
      <c r="D88" s="563"/>
      <c r="E88" s="542"/>
      <c r="F88" s="542"/>
      <c r="G88" s="542"/>
      <c r="H88" s="542"/>
      <c r="I88" s="646"/>
      <c r="J88" s="646"/>
      <c r="K88" s="669"/>
      <c r="L88" s="646"/>
      <c r="M88" s="646"/>
      <c r="N88" s="646"/>
      <c r="O88" s="646"/>
      <c r="Q88" s="669"/>
    </row>
    <row r="89" spans="1:17" ht="15.75">
      <c r="B89" s="330"/>
      <c r="C89" s="596" t="s">
        <v>292</v>
      </c>
      <c r="D89" s="563"/>
      <c r="E89" s="542"/>
      <c r="F89" s="542"/>
      <c r="G89" s="542"/>
      <c r="H89" s="864"/>
      <c r="I89" s="542" t="s">
        <v>271</v>
      </c>
      <c r="J89" s="542"/>
      <c r="K89" s="588"/>
      <c r="L89" s="757">
        <f>+J95</f>
        <v>2021</v>
      </c>
      <c r="M89" s="739" t="s">
        <v>254</v>
      </c>
      <c r="N89" s="739" t="s">
        <v>255</v>
      </c>
      <c r="O89" s="740" t="s">
        <v>256</v>
      </c>
      <c r="Q89" s="588"/>
    </row>
    <row r="90" spans="1:17" ht="15.75">
      <c r="B90" s="330"/>
      <c r="C90" s="596"/>
      <c r="D90" s="563"/>
      <c r="E90" s="542"/>
      <c r="F90" s="542"/>
      <c r="H90" s="542"/>
      <c r="I90" s="681"/>
      <c r="J90" s="681"/>
      <c r="K90" s="682"/>
      <c r="L90" s="758" t="s">
        <v>455</v>
      </c>
      <c r="M90" s="759">
        <f>VLOOKUP(J95,C102:P161,10)</f>
        <v>701369.77974855609</v>
      </c>
      <c r="N90" s="759">
        <f>VLOOKUP(J95,C102:P161,12)</f>
        <v>701369.77974855609</v>
      </c>
      <c r="O90" s="760">
        <f>+N90-M90</f>
        <v>0</v>
      </c>
      <c r="Q90" s="682"/>
    </row>
    <row r="91" spans="1:17">
      <c r="B91" s="330"/>
      <c r="C91" s="684" t="s">
        <v>293</v>
      </c>
      <c r="D91" s="1711" t="s">
        <v>932</v>
      </c>
      <c r="E91" s="1711"/>
      <c r="F91" s="1711"/>
      <c r="G91" s="1711"/>
      <c r="H91" s="872"/>
      <c r="I91" s="646"/>
      <c r="J91" s="646"/>
      <c r="K91" s="669"/>
      <c r="L91" s="758" t="s">
        <v>456</v>
      </c>
      <c r="M91" s="761">
        <f>VLOOKUP(J95,C102:P161,6)</f>
        <v>741733.23156314052</v>
      </c>
      <c r="N91" s="761">
        <f>VLOOKUP(J95,C102:P161,7)</f>
        <v>741733.23156314052</v>
      </c>
      <c r="O91" s="762">
        <f>+N91-M91</f>
        <v>0</v>
      </c>
      <c r="Q91" s="669"/>
    </row>
    <row r="92" spans="1:17" ht="13.5" thickBot="1">
      <c r="B92" s="330"/>
      <c r="C92" s="686"/>
      <c r="D92" s="687"/>
      <c r="E92" s="671"/>
      <c r="F92" s="671"/>
      <c r="G92" s="671"/>
      <c r="H92" s="688"/>
      <c r="I92" s="646"/>
      <c r="J92" s="646"/>
      <c r="K92" s="669"/>
      <c r="L92" s="705" t="s">
        <v>457</v>
      </c>
      <c r="M92" s="763">
        <f>+M91-M90</f>
        <v>40363.451814584434</v>
      </c>
      <c r="N92" s="763">
        <f>+N91-N90</f>
        <v>40363.451814584434</v>
      </c>
      <c r="O92" s="764">
        <f>+O91-O90</f>
        <v>0</v>
      </c>
      <c r="Q92" s="669"/>
    </row>
    <row r="93" spans="1:17" ht="13.5" thickBot="1">
      <c r="B93" s="330"/>
      <c r="C93" s="689"/>
      <c r="D93" s="690"/>
      <c r="E93" s="688"/>
      <c r="F93" s="688"/>
      <c r="G93" s="688"/>
      <c r="H93" s="688"/>
      <c r="I93" s="688"/>
      <c r="J93" s="688"/>
      <c r="K93" s="691"/>
      <c r="L93" s="688"/>
      <c r="M93" s="688"/>
      <c r="N93" s="688"/>
      <c r="O93" s="688"/>
      <c r="P93" s="576"/>
      <c r="Q93" s="691"/>
    </row>
    <row r="94" spans="1:17" ht="13.5" thickBot="1">
      <c r="B94" s="330"/>
      <c r="C94" s="692" t="s">
        <v>294</v>
      </c>
      <c r="D94" s="693"/>
      <c r="E94" s="693"/>
      <c r="F94" s="693"/>
      <c r="G94" s="693"/>
      <c r="H94" s="693"/>
      <c r="I94" s="693"/>
      <c r="J94" s="693"/>
      <c r="K94" s="695"/>
      <c r="P94" s="696"/>
      <c r="Q94" s="695"/>
    </row>
    <row r="95" spans="1:17" ht="15">
      <c r="A95" s="1310"/>
      <c r="B95" s="330"/>
      <c r="C95" s="697" t="s">
        <v>272</v>
      </c>
      <c r="D95" s="1253">
        <v>5559037.0700000003</v>
      </c>
      <c r="E95" s="655" t="s">
        <v>273</v>
      </c>
      <c r="H95" s="698"/>
      <c r="I95" s="698"/>
      <c r="J95" s="699">
        <v>2021</v>
      </c>
      <c r="K95" s="586"/>
      <c r="L95" s="1717" t="s">
        <v>274</v>
      </c>
      <c r="M95" s="1717"/>
      <c r="N95" s="1717"/>
      <c r="O95" s="1717"/>
      <c r="P95" s="588"/>
      <c r="Q95" s="586"/>
    </row>
    <row r="96" spans="1:17">
      <c r="A96" s="1310"/>
      <c r="B96" s="330"/>
      <c r="C96" s="697" t="s">
        <v>275</v>
      </c>
      <c r="D96" s="873">
        <v>2009</v>
      </c>
      <c r="E96" s="697" t="s">
        <v>276</v>
      </c>
      <c r="F96" s="698"/>
      <c r="G96" s="698"/>
      <c r="I96" s="330"/>
      <c r="J96" s="867">
        <v>0</v>
      </c>
      <c r="K96" s="700"/>
      <c r="L96" s="669" t="s">
        <v>475</v>
      </c>
      <c r="P96" s="588"/>
      <c r="Q96" s="700"/>
    </row>
    <row r="97" spans="1:17">
      <c r="A97" s="1310"/>
      <c r="B97" s="330"/>
      <c r="C97" s="697" t="s">
        <v>277</v>
      </c>
      <c r="D97" s="1253">
        <v>3</v>
      </c>
      <c r="E97" s="697" t="s">
        <v>278</v>
      </c>
      <c r="F97" s="698"/>
      <c r="G97" s="698"/>
      <c r="I97" s="330"/>
      <c r="J97" s="701">
        <f>$F$70</f>
        <v>0.15341253840442806</v>
      </c>
      <c r="K97" s="702"/>
      <c r="L97" s="542" t="str">
        <f>"          INPUT TRUE-UP ARR (WITH &amp; WITHOUT INCENTIVES) FROM EACH PRIOR YEAR"</f>
        <v xml:space="preserve">          INPUT TRUE-UP ARR (WITH &amp; WITHOUT INCENTIVES) FROM EACH PRIOR YEAR</v>
      </c>
      <c r="P97" s="588"/>
      <c r="Q97" s="702"/>
    </row>
    <row r="98" spans="1:17">
      <c r="A98" s="1310"/>
      <c r="B98" s="330"/>
      <c r="C98" s="697" t="s">
        <v>279</v>
      </c>
      <c r="D98" s="703">
        <f>H79</f>
        <v>44</v>
      </c>
      <c r="E98" s="697" t="s">
        <v>280</v>
      </c>
      <c r="F98" s="698"/>
      <c r="G98" s="698"/>
      <c r="I98" s="330"/>
      <c r="J98" s="701">
        <f>IF(H89="",J97,$F$69)</f>
        <v>0.15341253840442806</v>
      </c>
      <c r="K98" s="704"/>
      <c r="L98" s="542" t="s">
        <v>362</v>
      </c>
      <c r="M98" s="704"/>
      <c r="N98" s="704"/>
      <c r="O98" s="704"/>
      <c r="P98" s="588"/>
      <c r="Q98" s="704"/>
    </row>
    <row r="99" spans="1:17" ht="13.5" thickBot="1">
      <c r="A99" s="1310"/>
      <c r="B99" s="330"/>
      <c r="C99" s="697" t="s">
        <v>281</v>
      </c>
      <c r="D99" s="866" t="s">
        <v>933</v>
      </c>
      <c r="E99" s="705" t="s">
        <v>282</v>
      </c>
      <c r="F99" s="706"/>
      <c r="G99" s="706"/>
      <c r="H99" s="707"/>
      <c r="I99" s="707"/>
      <c r="J99" s="685">
        <f>IF(D95=0,0,D95/D98)</f>
        <v>126341.7515909091</v>
      </c>
      <c r="K99" s="669"/>
      <c r="L99" s="669" t="s">
        <v>363</v>
      </c>
      <c r="M99" s="669"/>
      <c r="N99" s="669"/>
      <c r="O99" s="669"/>
      <c r="P99" s="588"/>
      <c r="Q99" s="669"/>
    </row>
    <row r="100" spans="1:17" ht="38.25">
      <c r="A100" s="529"/>
      <c r="B100" s="529"/>
      <c r="C100" s="708" t="s">
        <v>272</v>
      </c>
      <c r="D100" s="709" t="s">
        <v>283</v>
      </c>
      <c r="E100" s="710" t="s">
        <v>284</v>
      </c>
      <c r="F100" s="709" t="s">
        <v>285</v>
      </c>
      <c r="G100" s="709" t="s">
        <v>458</v>
      </c>
      <c r="H100" s="710" t="s">
        <v>356</v>
      </c>
      <c r="I100" s="711" t="s">
        <v>356</v>
      </c>
      <c r="J100" s="708" t="s">
        <v>295</v>
      </c>
      <c r="K100" s="712"/>
      <c r="L100" s="710" t="s">
        <v>358</v>
      </c>
      <c r="M100" s="710" t="s">
        <v>364</v>
      </c>
      <c r="N100" s="710" t="s">
        <v>358</v>
      </c>
      <c r="O100" s="710" t="s">
        <v>366</v>
      </c>
      <c r="P100" s="710" t="s">
        <v>286</v>
      </c>
      <c r="Q100" s="713"/>
    </row>
    <row r="101" spans="1:17" ht="13.5" thickBot="1">
      <c r="B101" s="330"/>
      <c r="C101" s="714" t="s">
        <v>177</v>
      </c>
      <c r="D101" s="715" t="s">
        <v>178</v>
      </c>
      <c r="E101" s="714" t="s">
        <v>37</v>
      </c>
      <c r="F101" s="715" t="s">
        <v>178</v>
      </c>
      <c r="G101" s="715" t="s">
        <v>178</v>
      </c>
      <c r="H101" s="716" t="s">
        <v>298</v>
      </c>
      <c r="I101" s="717" t="s">
        <v>300</v>
      </c>
      <c r="J101" s="718" t="s">
        <v>389</v>
      </c>
      <c r="K101" s="719"/>
      <c r="L101" s="716" t="s">
        <v>287</v>
      </c>
      <c r="M101" s="716" t="s">
        <v>287</v>
      </c>
      <c r="N101" s="716" t="s">
        <v>467</v>
      </c>
      <c r="O101" s="716" t="s">
        <v>467</v>
      </c>
      <c r="P101" s="716" t="s">
        <v>467</v>
      </c>
      <c r="Q101" s="586"/>
    </row>
    <row r="102" spans="1:17">
      <c r="B102" s="330"/>
      <c r="C102" s="720">
        <f>IF(D96= "","-",D96)</f>
        <v>2009</v>
      </c>
      <c r="D102" s="673">
        <f>+D95</f>
        <v>5559037.0700000003</v>
      </c>
      <c r="E102" s="721">
        <f>+J99/12*(12-D97)</f>
        <v>94756.313693181815</v>
      </c>
      <c r="F102" s="765">
        <f t="shared" ref="F102:F133" si="0">+D102-E102</f>
        <v>5464280.7563068187</v>
      </c>
      <c r="G102" s="673">
        <f t="shared" ref="G102:G133" si="1">+(D102+F102)/2</f>
        <v>5511658.91315341</v>
      </c>
      <c r="H102" s="722">
        <f>+J97*G102+E102</f>
        <v>940313.89837943763</v>
      </c>
      <c r="I102" s="723">
        <f>+J98*G102+E102</f>
        <v>940313.89837943763</v>
      </c>
      <c r="J102" s="724">
        <f t="shared" ref="J102:J133" si="2">+I102-H102</f>
        <v>0</v>
      </c>
      <c r="K102" s="724"/>
      <c r="L102" s="728">
        <v>894795.92009701405</v>
      </c>
      <c r="M102" s="766">
        <f t="shared" ref="M102:M133" si="3">IF(L102&lt;&gt;0,+H102-L102,0)</f>
        <v>45517.978282423574</v>
      </c>
      <c r="N102" s="728">
        <v>894795.92009701405</v>
      </c>
      <c r="O102" s="766">
        <f t="shared" ref="O102:O133" si="4">IF(N102&lt;&gt;0,+I102-N102,0)</f>
        <v>45517.978282423574</v>
      </c>
      <c r="P102" s="766">
        <f t="shared" ref="P102:P133" si="5">+O102-M102</f>
        <v>0</v>
      </c>
      <c r="Q102" s="674"/>
    </row>
    <row r="103" spans="1:17">
      <c r="B103" s="330"/>
      <c r="C103" s="720">
        <f>IF(D96="","-",+C102+1)</f>
        <v>2010</v>
      </c>
      <c r="D103" s="673">
        <f t="shared" ref="D103:D134" si="6">F102</f>
        <v>5464280.7563068187</v>
      </c>
      <c r="E103" s="726">
        <f t="shared" ref="E103:E134" si="7">IF(D103&gt;$J$99,$J$99,D103)</f>
        <v>126341.7515909091</v>
      </c>
      <c r="F103" s="726">
        <f t="shared" si="0"/>
        <v>5337939.0047159093</v>
      </c>
      <c r="G103" s="673">
        <f t="shared" si="1"/>
        <v>5401109.880511364</v>
      </c>
      <c r="H103" s="721">
        <f>+J97*G103+E103</f>
        <v>954939.72856139462</v>
      </c>
      <c r="I103" s="727">
        <f>+J98*G103+E103</f>
        <v>954939.72856139462</v>
      </c>
      <c r="J103" s="724">
        <f t="shared" si="2"/>
        <v>0</v>
      </c>
      <c r="K103" s="724"/>
      <c r="L103" s="728">
        <v>1094271.219602833</v>
      </c>
      <c r="M103" s="724">
        <f t="shared" si="3"/>
        <v>-139331.49104143842</v>
      </c>
      <c r="N103" s="728">
        <v>1094271.219602833</v>
      </c>
      <c r="O103" s="724">
        <f t="shared" si="4"/>
        <v>-139331.49104143842</v>
      </c>
      <c r="P103" s="724">
        <f t="shared" si="5"/>
        <v>0</v>
      </c>
      <c r="Q103" s="674"/>
    </row>
    <row r="104" spans="1:17">
      <c r="B104" s="330"/>
      <c r="C104" s="720">
        <f>IF(D96="","-",+C103+1)</f>
        <v>2011</v>
      </c>
      <c r="D104" s="673">
        <f t="shared" si="6"/>
        <v>5337939.0047159093</v>
      </c>
      <c r="E104" s="726">
        <f t="shared" si="7"/>
        <v>126341.7515909091</v>
      </c>
      <c r="F104" s="726">
        <f t="shared" si="0"/>
        <v>5211597.2531249998</v>
      </c>
      <c r="G104" s="673">
        <f t="shared" si="1"/>
        <v>5274768.1289204545</v>
      </c>
      <c r="H104" s="721">
        <f>+J97*G104+E104</f>
        <v>935557.31974337145</v>
      </c>
      <c r="I104" s="727">
        <f>+J98*G104+E104</f>
        <v>935557.31974337145</v>
      </c>
      <c r="J104" s="724">
        <f t="shared" si="2"/>
        <v>0</v>
      </c>
      <c r="K104" s="724"/>
      <c r="L104" s="728">
        <v>1210680</v>
      </c>
      <c r="M104" s="724">
        <f t="shared" si="3"/>
        <v>-275122.68025662855</v>
      </c>
      <c r="N104" s="728">
        <v>1210680</v>
      </c>
      <c r="O104" s="724">
        <f t="shared" si="4"/>
        <v>-275122.68025662855</v>
      </c>
      <c r="P104" s="724">
        <f t="shared" si="5"/>
        <v>0</v>
      </c>
      <c r="Q104" s="674"/>
    </row>
    <row r="105" spans="1:17">
      <c r="B105" s="330"/>
      <c r="C105" s="720">
        <f>IF(D96="","-",+C104+1)</f>
        <v>2012</v>
      </c>
      <c r="D105" s="673">
        <f t="shared" si="6"/>
        <v>5211597.2531249998</v>
      </c>
      <c r="E105" s="726">
        <f t="shared" si="7"/>
        <v>126341.7515909091</v>
      </c>
      <c r="F105" s="726">
        <f t="shared" si="0"/>
        <v>5085255.5015340904</v>
      </c>
      <c r="G105" s="673">
        <f t="shared" si="1"/>
        <v>5148426.3773295451</v>
      </c>
      <c r="H105" s="721">
        <f>+J97*G105+E105</f>
        <v>916174.91092534841</v>
      </c>
      <c r="I105" s="727">
        <f>+J98*G105+E105</f>
        <v>916174.91092534841</v>
      </c>
      <c r="J105" s="724">
        <f t="shared" si="2"/>
        <v>0</v>
      </c>
      <c r="K105" s="724"/>
      <c r="L105" s="728">
        <v>1057665.8743332385</v>
      </c>
      <c r="M105" s="724">
        <f t="shared" si="3"/>
        <v>-141490.96340789006</v>
      </c>
      <c r="N105" s="728">
        <v>1057665.8743332385</v>
      </c>
      <c r="O105" s="724">
        <f t="shared" si="4"/>
        <v>-141490.96340789006</v>
      </c>
      <c r="P105" s="724">
        <f t="shared" si="5"/>
        <v>0</v>
      </c>
      <c r="Q105" s="674"/>
    </row>
    <row r="106" spans="1:17">
      <c r="B106" s="330"/>
      <c r="C106" s="720">
        <f>IF(D96="","-",+C105+1)</f>
        <v>2013</v>
      </c>
      <c r="D106" s="673">
        <f t="shared" si="6"/>
        <v>5085255.5015340904</v>
      </c>
      <c r="E106" s="726">
        <f t="shared" si="7"/>
        <v>126341.7515909091</v>
      </c>
      <c r="F106" s="726">
        <f t="shared" si="0"/>
        <v>4958913.7499431809</v>
      </c>
      <c r="G106" s="673">
        <f t="shared" si="1"/>
        <v>5022084.6257386357</v>
      </c>
      <c r="H106" s="721">
        <f>+J97*G106+E106</f>
        <v>896792.50210732524</v>
      </c>
      <c r="I106" s="727">
        <f>+J98*G106+E106</f>
        <v>896792.50210732524</v>
      </c>
      <c r="J106" s="724">
        <f t="shared" si="2"/>
        <v>0</v>
      </c>
      <c r="K106" s="724"/>
      <c r="L106" s="728">
        <v>1051933</v>
      </c>
      <c r="M106" s="724">
        <f t="shared" si="3"/>
        <v>-155140.49789267476</v>
      </c>
      <c r="N106" s="728">
        <v>1051933</v>
      </c>
      <c r="O106" s="724">
        <f t="shared" si="4"/>
        <v>-155140.49789267476</v>
      </c>
      <c r="P106" s="724">
        <f t="shared" si="5"/>
        <v>0</v>
      </c>
      <c r="Q106" s="674"/>
    </row>
    <row r="107" spans="1:17">
      <c r="B107" s="330"/>
      <c r="C107" s="720">
        <f>IF(D96="","-",+C106+1)</f>
        <v>2014</v>
      </c>
      <c r="D107" s="673">
        <f t="shared" si="6"/>
        <v>4958913.7499431809</v>
      </c>
      <c r="E107" s="726">
        <f t="shared" si="7"/>
        <v>126341.7515909091</v>
      </c>
      <c r="F107" s="726">
        <f t="shared" si="0"/>
        <v>4832571.9983522715</v>
      </c>
      <c r="G107" s="673">
        <f t="shared" si="1"/>
        <v>4895742.8741477262</v>
      </c>
      <c r="H107" s="721">
        <f>+J97*G107+E107</f>
        <v>877410.0932893022</v>
      </c>
      <c r="I107" s="727">
        <f>+J98*G107+E107</f>
        <v>877410.0932893022</v>
      </c>
      <c r="J107" s="724">
        <f t="shared" si="2"/>
        <v>0</v>
      </c>
      <c r="K107" s="724"/>
      <c r="L107" s="728">
        <v>1050369</v>
      </c>
      <c r="M107" s="724">
        <f t="shared" si="3"/>
        <v>-172958.9067106978</v>
      </c>
      <c r="N107" s="728">
        <v>1050369</v>
      </c>
      <c r="O107" s="724">
        <f t="shared" si="4"/>
        <v>-172958.9067106978</v>
      </c>
      <c r="P107" s="724">
        <f t="shared" si="5"/>
        <v>0</v>
      </c>
      <c r="Q107" s="674"/>
    </row>
    <row r="108" spans="1:17">
      <c r="B108" s="330"/>
      <c r="C108" s="720">
        <f>IF(D96="","-",+C107+1)</f>
        <v>2015</v>
      </c>
      <c r="D108" s="673">
        <f t="shared" si="6"/>
        <v>4832571.9983522715</v>
      </c>
      <c r="E108" s="726">
        <f t="shared" si="7"/>
        <v>126341.7515909091</v>
      </c>
      <c r="F108" s="726">
        <f t="shared" si="0"/>
        <v>4706230.2467613621</v>
      </c>
      <c r="G108" s="673">
        <f t="shared" si="1"/>
        <v>4769401.1225568168</v>
      </c>
      <c r="H108" s="721">
        <f>+J97*G108+E108</f>
        <v>858027.68447127903</v>
      </c>
      <c r="I108" s="727">
        <f>+J98*G108+E108</f>
        <v>858027.68447127903</v>
      </c>
      <c r="J108" s="724">
        <f t="shared" si="2"/>
        <v>0</v>
      </c>
      <c r="K108" s="724"/>
      <c r="L108" s="728">
        <v>1028335</v>
      </c>
      <c r="M108" s="724">
        <f t="shared" si="3"/>
        <v>-170307.31552872097</v>
      </c>
      <c r="N108" s="728">
        <v>1028335</v>
      </c>
      <c r="O108" s="724">
        <f t="shared" si="4"/>
        <v>-170307.31552872097</v>
      </c>
      <c r="P108" s="724">
        <f t="shared" si="5"/>
        <v>0</v>
      </c>
      <c r="Q108" s="674"/>
    </row>
    <row r="109" spans="1:17">
      <c r="B109" s="330"/>
      <c r="C109" s="720">
        <f>IF(D96="","-",+C108+1)</f>
        <v>2016</v>
      </c>
      <c r="D109" s="673">
        <f t="shared" si="6"/>
        <v>4706230.2467613621</v>
      </c>
      <c r="E109" s="726">
        <f t="shared" si="7"/>
        <v>126341.7515909091</v>
      </c>
      <c r="F109" s="726">
        <f t="shared" si="0"/>
        <v>4579888.4951704526</v>
      </c>
      <c r="G109" s="673">
        <f t="shared" si="1"/>
        <v>4643059.3709659074</v>
      </c>
      <c r="H109" s="721">
        <f>+J97*G109+E109</f>
        <v>838645.27565325599</v>
      </c>
      <c r="I109" s="727">
        <f>+J98*G109+E109</f>
        <v>838645.27565325599</v>
      </c>
      <c r="J109" s="724">
        <f t="shared" si="2"/>
        <v>0</v>
      </c>
      <c r="K109" s="724"/>
      <c r="L109" s="728">
        <v>989594</v>
      </c>
      <c r="M109" s="724">
        <f t="shared" si="3"/>
        <v>-150948.72434674401</v>
      </c>
      <c r="N109" s="728">
        <v>989594</v>
      </c>
      <c r="O109" s="724">
        <f t="shared" si="4"/>
        <v>-150948.72434674401</v>
      </c>
      <c r="P109" s="724">
        <f t="shared" si="5"/>
        <v>0</v>
      </c>
      <c r="Q109" s="674"/>
    </row>
    <row r="110" spans="1:17">
      <c r="B110" s="330"/>
      <c r="C110" s="1450">
        <f>IF(D96="","-",+C109+1)</f>
        <v>2017</v>
      </c>
      <c r="D110" s="673">
        <f t="shared" si="6"/>
        <v>4579888.4951704526</v>
      </c>
      <c r="E110" s="726">
        <f t="shared" si="7"/>
        <v>126341.7515909091</v>
      </c>
      <c r="F110" s="726">
        <f t="shared" si="0"/>
        <v>4453546.7435795432</v>
      </c>
      <c r="G110" s="673">
        <f t="shared" si="1"/>
        <v>4516717.6193749979</v>
      </c>
      <c r="H110" s="721">
        <f>+J97*G110+E110</f>
        <v>819262.86683523282</v>
      </c>
      <c r="I110" s="727">
        <f>+J98*G110+E110</f>
        <v>819262.86683523282</v>
      </c>
      <c r="J110" s="724">
        <f t="shared" si="2"/>
        <v>0</v>
      </c>
      <c r="K110" s="724"/>
      <c r="L110" s="728">
        <v>996311</v>
      </c>
      <c r="M110" s="724">
        <f t="shared" si="3"/>
        <v>-177048.13316476718</v>
      </c>
      <c r="N110" s="728">
        <v>996311</v>
      </c>
      <c r="O110" s="724">
        <f t="shared" si="4"/>
        <v>-177048.13316476718</v>
      </c>
      <c r="P110" s="724">
        <f t="shared" si="5"/>
        <v>0</v>
      </c>
      <c r="Q110" s="674"/>
    </row>
    <row r="111" spans="1:17">
      <c r="B111" s="330"/>
      <c r="C111" s="1450">
        <f>IF(D96="","-",+C110+1)</f>
        <v>2018</v>
      </c>
      <c r="D111" s="673">
        <f t="shared" si="6"/>
        <v>4453546.7435795432</v>
      </c>
      <c r="E111" s="726">
        <f t="shared" si="7"/>
        <v>126341.7515909091</v>
      </c>
      <c r="F111" s="726">
        <f t="shared" si="0"/>
        <v>4327204.9919886338</v>
      </c>
      <c r="G111" s="673">
        <f t="shared" si="1"/>
        <v>4390375.8677840885</v>
      </c>
      <c r="H111" s="721">
        <f>+J97*G111+E111</f>
        <v>799880.45801720978</v>
      </c>
      <c r="I111" s="727">
        <f>+J98*G111+E111</f>
        <v>799880.45801720978</v>
      </c>
      <c r="J111" s="724">
        <f t="shared" si="2"/>
        <v>0</v>
      </c>
      <c r="K111" s="724"/>
      <c r="L111" s="728">
        <v>790538</v>
      </c>
      <c r="M111" s="724">
        <f t="shared" si="3"/>
        <v>9342.4580172097776</v>
      </c>
      <c r="N111" s="728">
        <v>790538</v>
      </c>
      <c r="O111" s="724">
        <f t="shared" si="4"/>
        <v>9342.4580172097776</v>
      </c>
      <c r="P111" s="724">
        <f t="shared" si="5"/>
        <v>0</v>
      </c>
      <c r="Q111" s="674"/>
    </row>
    <row r="112" spans="1:17">
      <c r="B112" s="330"/>
      <c r="C112" s="720">
        <f>IF(D96="","-",+C111+1)</f>
        <v>2019</v>
      </c>
      <c r="D112" s="673">
        <f t="shared" si="6"/>
        <v>4327204.9919886338</v>
      </c>
      <c r="E112" s="726">
        <f t="shared" si="7"/>
        <v>126341.7515909091</v>
      </c>
      <c r="F112" s="726">
        <f t="shared" si="0"/>
        <v>4200863.2403977243</v>
      </c>
      <c r="G112" s="673">
        <f t="shared" si="1"/>
        <v>4264034.116193179</v>
      </c>
      <c r="H112" s="721">
        <f>+J97*G112+E112</f>
        <v>780498.04919918661</v>
      </c>
      <c r="I112" s="727">
        <f>+J98*G112+E112</f>
        <v>780498.04919918661</v>
      </c>
      <c r="J112" s="724">
        <f t="shared" si="2"/>
        <v>0</v>
      </c>
      <c r="K112" s="724"/>
      <c r="L112" s="1452">
        <v>766759</v>
      </c>
      <c r="M112" s="724">
        <f t="shared" si="3"/>
        <v>13739.049199186615</v>
      </c>
      <c r="N112" s="1452">
        <v>766759</v>
      </c>
      <c r="O112" s="724">
        <f t="shared" si="4"/>
        <v>13739.049199186615</v>
      </c>
      <c r="P112" s="724">
        <f t="shared" si="5"/>
        <v>0</v>
      </c>
      <c r="Q112" s="674"/>
    </row>
    <row r="113" spans="2:17">
      <c r="B113" s="330"/>
      <c r="C113" s="720">
        <f>IF(D96="","-",+C112+1)</f>
        <v>2020</v>
      </c>
      <c r="D113" s="673">
        <f t="shared" si="6"/>
        <v>4200863.2403977243</v>
      </c>
      <c r="E113" s="726">
        <f t="shared" si="7"/>
        <v>126341.7515909091</v>
      </c>
      <c r="F113" s="726">
        <f t="shared" si="0"/>
        <v>4074521.4888068154</v>
      </c>
      <c r="G113" s="673">
        <f t="shared" si="1"/>
        <v>4137692.3646022696</v>
      </c>
      <c r="H113" s="721">
        <f>+J97*G113+E113</f>
        <v>761115.64038116357</v>
      </c>
      <c r="I113" s="727">
        <f>+J98*G113+E113</f>
        <v>761115.64038116357</v>
      </c>
      <c r="J113" s="724">
        <f t="shared" si="2"/>
        <v>0</v>
      </c>
      <c r="K113" s="724"/>
      <c r="L113" s="728">
        <v>736885.36045477365</v>
      </c>
      <c r="M113" s="724">
        <f t="shared" si="3"/>
        <v>24230.279926389921</v>
      </c>
      <c r="N113" s="1548">
        <v>736885.36045477365</v>
      </c>
      <c r="O113" s="724">
        <f t="shared" si="4"/>
        <v>24230.279926389921</v>
      </c>
      <c r="P113" s="724">
        <f t="shared" si="5"/>
        <v>0</v>
      </c>
      <c r="Q113" s="674"/>
    </row>
    <row r="114" spans="2:17">
      <c r="B114" s="330"/>
      <c r="C114" s="720">
        <f>IF(D96="","-",+C113+1)</f>
        <v>2021</v>
      </c>
      <c r="D114" s="673">
        <f t="shared" si="6"/>
        <v>4074521.4888068154</v>
      </c>
      <c r="E114" s="726">
        <f t="shared" si="7"/>
        <v>126341.7515909091</v>
      </c>
      <c r="F114" s="726">
        <f t="shared" si="0"/>
        <v>3948179.7372159064</v>
      </c>
      <c r="G114" s="673">
        <f t="shared" si="1"/>
        <v>4011350.6130113611</v>
      </c>
      <c r="H114" s="721">
        <f>+J97*G114+E114</f>
        <v>741733.23156314052</v>
      </c>
      <c r="I114" s="727">
        <f>+J98*G114+E114</f>
        <v>741733.23156314052</v>
      </c>
      <c r="J114" s="724">
        <f t="shared" si="2"/>
        <v>0</v>
      </c>
      <c r="K114" s="724"/>
      <c r="L114" s="728">
        <v>701369.77974855609</v>
      </c>
      <c r="M114" s="724">
        <f t="shared" si="3"/>
        <v>40363.451814584434</v>
      </c>
      <c r="N114" s="1548">
        <v>701369.77974855609</v>
      </c>
      <c r="O114" s="724">
        <f t="shared" si="4"/>
        <v>40363.451814584434</v>
      </c>
      <c r="P114" s="724">
        <f t="shared" si="5"/>
        <v>0</v>
      </c>
      <c r="Q114" s="674"/>
    </row>
    <row r="115" spans="2:17">
      <c r="B115" s="330"/>
      <c r="C115" s="720">
        <f>IF(D96="","-",+C114+1)</f>
        <v>2022</v>
      </c>
      <c r="D115" s="673">
        <f t="shared" si="6"/>
        <v>3948179.7372159064</v>
      </c>
      <c r="E115" s="726">
        <f t="shared" si="7"/>
        <v>126341.7515909091</v>
      </c>
      <c r="F115" s="726">
        <f t="shared" si="0"/>
        <v>3821837.9856249974</v>
      </c>
      <c r="G115" s="673">
        <f t="shared" si="1"/>
        <v>3885008.8614204517</v>
      </c>
      <c r="H115" s="721">
        <f>+J97*G115+E115</f>
        <v>722350.82274511748</v>
      </c>
      <c r="I115" s="727">
        <f>+J98*G115+E115</f>
        <v>722350.82274511748</v>
      </c>
      <c r="J115" s="724">
        <f t="shared" si="2"/>
        <v>0</v>
      </c>
      <c r="K115" s="724"/>
      <c r="L115" s="728"/>
      <c r="M115" s="724">
        <f t="shared" si="3"/>
        <v>0</v>
      </c>
      <c r="N115" s="728"/>
      <c r="O115" s="724">
        <f t="shared" si="4"/>
        <v>0</v>
      </c>
      <c r="P115" s="724">
        <f t="shared" si="5"/>
        <v>0</v>
      </c>
      <c r="Q115" s="674"/>
    </row>
    <row r="116" spans="2:17">
      <c r="B116" s="330"/>
      <c r="C116" s="720">
        <f>IF(D96="","-",+C115+1)</f>
        <v>2023</v>
      </c>
      <c r="D116" s="673">
        <f t="shared" si="6"/>
        <v>3821837.9856249974</v>
      </c>
      <c r="E116" s="726">
        <f t="shared" si="7"/>
        <v>126341.7515909091</v>
      </c>
      <c r="F116" s="726">
        <f t="shared" si="0"/>
        <v>3695496.2340340884</v>
      </c>
      <c r="G116" s="673">
        <f t="shared" si="1"/>
        <v>3758667.1098295432</v>
      </c>
      <c r="H116" s="721">
        <f>+J97*G116+E116</f>
        <v>702968.41392709455</v>
      </c>
      <c r="I116" s="727">
        <f>+J98*G116+E116</f>
        <v>702968.41392709455</v>
      </c>
      <c r="J116" s="724">
        <f t="shared" si="2"/>
        <v>0</v>
      </c>
      <c r="K116" s="724"/>
      <c r="L116" s="728"/>
      <c r="M116" s="724">
        <f t="shared" si="3"/>
        <v>0</v>
      </c>
      <c r="N116" s="728"/>
      <c r="O116" s="724">
        <f t="shared" si="4"/>
        <v>0</v>
      </c>
      <c r="P116" s="724">
        <f t="shared" si="5"/>
        <v>0</v>
      </c>
      <c r="Q116" s="674"/>
    </row>
    <row r="117" spans="2:17">
      <c r="B117" s="330"/>
      <c r="C117" s="720">
        <f>IF(D96="","-",+C116+1)</f>
        <v>2024</v>
      </c>
      <c r="D117" s="673">
        <f t="shared" si="6"/>
        <v>3695496.2340340884</v>
      </c>
      <c r="E117" s="726">
        <f t="shared" si="7"/>
        <v>126341.7515909091</v>
      </c>
      <c r="F117" s="726">
        <f t="shared" si="0"/>
        <v>3569154.4824431795</v>
      </c>
      <c r="G117" s="673">
        <f t="shared" si="1"/>
        <v>3632325.3582386337</v>
      </c>
      <c r="H117" s="721">
        <f>+J97*G117+E117</f>
        <v>683586.00510907138</v>
      </c>
      <c r="I117" s="727">
        <f>+J98*G117+E117</f>
        <v>683586.00510907138</v>
      </c>
      <c r="J117" s="724">
        <f t="shared" si="2"/>
        <v>0</v>
      </c>
      <c r="K117" s="724"/>
      <c r="L117" s="728"/>
      <c r="M117" s="724">
        <f t="shared" si="3"/>
        <v>0</v>
      </c>
      <c r="N117" s="728"/>
      <c r="O117" s="724">
        <f t="shared" si="4"/>
        <v>0</v>
      </c>
      <c r="P117" s="724">
        <f t="shared" si="5"/>
        <v>0</v>
      </c>
      <c r="Q117" s="674"/>
    </row>
    <row r="118" spans="2:17">
      <c r="B118" s="330"/>
      <c r="C118" s="720">
        <f>IF(D96="","-",+C117+1)</f>
        <v>2025</v>
      </c>
      <c r="D118" s="673">
        <f t="shared" si="6"/>
        <v>3569154.4824431795</v>
      </c>
      <c r="E118" s="726">
        <f t="shared" si="7"/>
        <v>126341.7515909091</v>
      </c>
      <c r="F118" s="726">
        <f t="shared" si="0"/>
        <v>3442812.7308522705</v>
      </c>
      <c r="G118" s="673">
        <f t="shared" si="1"/>
        <v>3505983.6066477252</v>
      </c>
      <c r="H118" s="721">
        <f>+J97*G118+E118</f>
        <v>664203.59629104845</v>
      </c>
      <c r="I118" s="727">
        <f>+J98*G118+E118</f>
        <v>664203.59629104845</v>
      </c>
      <c r="J118" s="724">
        <f t="shared" si="2"/>
        <v>0</v>
      </c>
      <c r="K118" s="724"/>
      <c r="L118" s="728"/>
      <c r="M118" s="724">
        <f t="shared" si="3"/>
        <v>0</v>
      </c>
      <c r="N118" s="728"/>
      <c r="O118" s="724">
        <f t="shared" si="4"/>
        <v>0</v>
      </c>
      <c r="P118" s="724">
        <f t="shared" si="5"/>
        <v>0</v>
      </c>
      <c r="Q118" s="674"/>
    </row>
    <row r="119" spans="2:17">
      <c r="B119" s="330"/>
      <c r="C119" s="720">
        <f>IF(D96="","-",+C118+1)</f>
        <v>2026</v>
      </c>
      <c r="D119" s="673">
        <f t="shared" si="6"/>
        <v>3442812.7308522705</v>
      </c>
      <c r="E119" s="726">
        <f t="shared" si="7"/>
        <v>126341.7515909091</v>
      </c>
      <c r="F119" s="726">
        <f t="shared" si="0"/>
        <v>3316470.9792613615</v>
      </c>
      <c r="G119" s="673">
        <f t="shared" si="1"/>
        <v>3379641.8550568158</v>
      </c>
      <c r="H119" s="721">
        <f>+J97*G119+E119</f>
        <v>644821.18747302541</v>
      </c>
      <c r="I119" s="727">
        <f>+J98*G119+E119</f>
        <v>644821.18747302541</v>
      </c>
      <c r="J119" s="724">
        <f t="shared" si="2"/>
        <v>0</v>
      </c>
      <c r="K119" s="724"/>
      <c r="L119" s="728"/>
      <c r="M119" s="724">
        <f t="shared" si="3"/>
        <v>0</v>
      </c>
      <c r="N119" s="728"/>
      <c r="O119" s="724">
        <f t="shared" si="4"/>
        <v>0</v>
      </c>
      <c r="P119" s="724">
        <f t="shared" si="5"/>
        <v>0</v>
      </c>
      <c r="Q119" s="674"/>
    </row>
    <row r="120" spans="2:17">
      <c r="B120" s="330"/>
      <c r="C120" s="720">
        <f>IF(D96="","-",+C119+1)</f>
        <v>2027</v>
      </c>
      <c r="D120" s="673">
        <f t="shared" si="6"/>
        <v>3316470.9792613615</v>
      </c>
      <c r="E120" s="726">
        <f t="shared" si="7"/>
        <v>126341.7515909091</v>
      </c>
      <c r="F120" s="726">
        <f t="shared" si="0"/>
        <v>3190129.2276704526</v>
      </c>
      <c r="G120" s="673">
        <f t="shared" si="1"/>
        <v>3253300.1034659073</v>
      </c>
      <c r="H120" s="721">
        <f>+J97*G120+E120</f>
        <v>625438.77865500236</v>
      </c>
      <c r="I120" s="727">
        <f>+J98*G120+E120</f>
        <v>625438.77865500236</v>
      </c>
      <c r="J120" s="724">
        <f t="shared" si="2"/>
        <v>0</v>
      </c>
      <c r="K120" s="724"/>
      <c r="L120" s="728"/>
      <c r="M120" s="724">
        <f t="shared" si="3"/>
        <v>0</v>
      </c>
      <c r="N120" s="728"/>
      <c r="O120" s="724">
        <f t="shared" si="4"/>
        <v>0</v>
      </c>
      <c r="P120" s="724">
        <f t="shared" si="5"/>
        <v>0</v>
      </c>
      <c r="Q120" s="674"/>
    </row>
    <row r="121" spans="2:17">
      <c r="B121" s="330"/>
      <c r="C121" s="720">
        <f>IF(D96="","-",+C120+1)</f>
        <v>2028</v>
      </c>
      <c r="D121" s="673">
        <f t="shared" si="6"/>
        <v>3190129.2276704526</v>
      </c>
      <c r="E121" s="726">
        <f t="shared" si="7"/>
        <v>126341.7515909091</v>
      </c>
      <c r="F121" s="726">
        <f t="shared" si="0"/>
        <v>3063787.4760795436</v>
      </c>
      <c r="G121" s="673">
        <f t="shared" si="1"/>
        <v>3126958.3518749978</v>
      </c>
      <c r="H121" s="721">
        <f>+J97*G121+E121</f>
        <v>606056.36983697931</v>
      </c>
      <c r="I121" s="727">
        <f>+J98*G121+E121</f>
        <v>606056.36983697931</v>
      </c>
      <c r="J121" s="724">
        <f t="shared" si="2"/>
        <v>0</v>
      </c>
      <c r="K121" s="724"/>
      <c r="L121" s="728"/>
      <c r="M121" s="724">
        <f t="shared" si="3"/>
        <v>0</v>
      </c>
      <c r="N121" s="728"/>
      <c r="O121" s="724">
        <f t="shared" si="4"/>
        <v>0</v>
      </c>
      <c r="P121" s="724">
        <f t="shared" si="5"/>
        <v>0</v>
      </c>
      <c r="Q121" s="674"/>
    </row>
    <row r="122" spans="2:17">
      <c r="B122" s="330"/>
      <c r="C122" s="720">
        <f>IF(D96="","-",+C121+1)</f>
        <v>2029</v>
      </c>
      <c r="D122" s="673">
        <f t="shared" si="6"/>
        <v>3063787.4760795436</v>
      </c>
      <c r="E122" s="726">
        <f t="shared" si="7"/>
        <v>126341.7515909091</v>
      </c>
      <c r="F122" s="726">
        <f t="shared" si="0"/>
        <v>2937445.7244886346</v>
      </c>
      <c r="G122" s="673">
        <f t="shared" si="1"/>
        <v>3000616.6002840893</v>
      </c>
      <c r="H122" s="721">
        <f>+J97*G122+E122</f>
        <v>586673.96101895638</v>
      </c>
      <c r="I122" s="727">
        <f>+J98*G122+E122</f>
        <v>586673.96101895638</v>
      </c>
      <c r="J122" s="724">
        <f t="shared" si="2"/>
        <v>0</v>
      </c>
      <c r="K122" s="724"/>
      <c r="L122" s="728"/>
      <c r="M122" s="724">
        <f t="shared" si="3"/>
        <v>0</v>
      </c>
      <c r="N122" s="728"/>
      <c r="O122" s="724">
        <f t="shared" si="4"/>
        <v>0</v>
      </c>
      <c r="P122" s="724">
        <f t="shared" si="5"/>
        <v>0</v>
      </c>
      <c r="Q122" s="674"/>
    </row>
    <row r="123" spans="2:17">
      <c r="B123" s="330"/>
      <c r="C123" s="720">
        <f>IF(D96="","-",+C122+1)</f>
        <v>2030</v>
      </c>
      <c r="D123" s="673">
        <f t="shared" si="6"/>
        <v>2937445.7244886346</v>
      </c>
      <c r="E123" s="726">
        <f t="shared" si="7"/>
        <v>126341.7515909091</v>
      </c>
      <c r="F123" s="726">
        <f t="shared" si="0"/>
        <v>2811103.9728977256</v>
      </c>
      <c r="G123" s="673">
        <f t="shared" si="1"/>
        <v>2874274.8486931799</v>
      </c>
      <c r="H123" s="721">
        <f>+J97*G123+E123</f>
        <v>567291.55220093322</v>
      </c>
      <c r="I123" s="727">
        <f>+J98*G123+E123</f>
        <v>567291.55220093322</v>
      </c>
      <c r="J123" s="724">
        <f t="shared" si="2"/>
        <v>0</v>
      </c>
      <c r="K123" s="724"/>
      <c r="L123" s="728"/>
      <c r="M123" s="724">
        <f t="shared" si="3"/>
        <v>0</v>
      </c>
      <c r="N123" s="728"/>
      <c r="O123" s="724">
        <f t="shared" si="4"/>
        <v>0</v>
      </c>
      <c r="P123" s="724">
        <f t="shared" si="5"/>
        <v>0</v>
      </c>
      <c r="Q123" s="674"/>
    </row>
    <row r="124" spans="2:17">
      <c r="B124" s="330"/>
      <c r="C124" s="720">
        <f>IF(D96="","-",+C123+1)</f>
        <v>2031</v>
      </c>
      <c r="D124" s="673">
        <f t="shared" si="6"/>
        <v>2811103.9728977256</v>
      </c>
      <c r="E124" s="726">
        <f t="shared" si="7"/>
        <v>126341.7515909091</v>
      </c>
      <c r="F124" s="726">
        <f t="shared" si="0"/>
        <v>2684762.2213068167</v>
      </c>
      <c r="G124" s="673">
        <f t="shared" si="1"/>
        <v>2747933.0971022714</v>
      </c>
      <c r="H124" s="721">
        <f>+J97*G124+E124</f>
        <v>547909.14338291029</v>
      </c>
      <c r="I124" s="727">
        <f>+J98*G124+E124</f>
        <v>547909.14338291029</v>
      </c>
      <c r="J124" s="724">
        <f t="shared" si="2"/>
        <v>0</v>
      </c>
      <c r="K124" s="724"/>
      <c r="L124" s="728"/>
      <c r="M124" s="724">
        <f t="shared" si="3"/>
        <v>0</v>
      </c>
      <c r="N124" s="728"/>
      <c r="O124" s="724">
        <f t="shared" si="4"/>
        <v>0</v>
      </c>
      <c r="P124" s="724">
        <f t="shared" si="5"/>
        <v>0</v>
      </c>
      <c r="Q124" s="674"/>
    </row>
    <row r="125" spans="2:17">
      <c r="B125" s="330"/>
      <c r="C125" s="720">
        <f>IF(D96="","-",+C124+1)</f>
        <v>2032</v>
      </c>
      <c r="D125" s="673">
        <f t="shared" si="6"/>
        <v>2684762.2213068167</v>
      </c>
      <c r="E125" s="726">
        <f t="shared" si="7"/>
        <v>126341.7515909091</v>
      </c>
      <c r="F125" s="726">
        <f t="shared" si="0"/>
        <v>2558420.4697159077</v>
      </c>
      <c r="G125" s="673">
        <f t="shared" si="1"/>
        <v>2621591.345511362</v>
      </c>
      <c r="H125" s="721">
        <f>+J97*G125+E125</f>
        <v>528526.73456488713</v>
      </c>
      <c r="I125" s="727">
        <f>+J98*G125+E125</f>
        <v>528526.73456488713</v>
      </c>
      <c r="J125" s="724">
        <f t="shared" si="2"/>
        <v>0</v>
      </c>
      <c r="K125" s="724"/>
      <c r="L125" s="728"/>
      <c r="M125" s="724">
        <f t="shared" si="3"/>
        <v>0</v>
      </c>
      <c r="N125" s="728"/>
      <c r="O125" s="724">
        <f t="shared" si="4"/>
        <v>0</v>
      </c>
      <c r="P125" s="724">
        <f t="shared" si="5"/>
        <v>0</v>
      </c>
      <c r="Q125" s="674"/>
    </row>
    <row r="126" spans="2:17">
      <c r="B126" s="330"/>
      <c r="C126" s="720">
        <f>IF(D96="","-",+C125+1)</f>
        <v>2033</v>
      </c>
      <c r="D126" s="673">
        <f t="shared" si="6"/>
        <v>2558420.4697159077</v>
      </c>
      <c r="E126" s="726">
        <f t="shared" si="7"/>
        <v>126341.7515909091</v>
      </c>
      <c r="F126" s="726">
        <f t="shared" si="0"/>
        <v>2432078.7181249987</v>
      </c>
      <c r="G126" s="673">
        <f t="shared" si="1"/>
        <v>2495249.5939204535</v>
      </c>
      <c r="H126" s="721">
        <f>+J97*G126+E126</f>
        <v>509144.3257468642</v>
      </c>
      <c r="I126" s="727">
        <f>+J98*G126+E126</f>
        <v>509144.3257468642</v>
      </c>
      <c r="J126" s="724">
        <f t="shared" si="2"/>
        <v>0</v>
      </c>
      <c r="K126" s="724"/>
      <c r="L126" s="728"/>
      <c r="M126" s="724">
        <f t="shared" si="3"/>
        <v>0</v>
      </c>
      <c r="N126" s="728"/>
      <c r="O126" s="724">
        <f t="shared" si="4"/>
        <v>0</v>
      </c>
      <c r="P126" s="724">
        <f t="shared" si="5"/>
        <v>0</v>
      </c>
      <c r="Q126" s="674"/>
    </row>
    <row r="127" spans="2:17">
      <c r="B127" s="330"/>
      <c r="C127" s="720">
        <f>IF(D96="","-",+C126+1)</f>
        <v>2034</v>
      </c>
      <c r="D127" s="673">
        <f t="shared" si="6"/>
        <v>2432078.7181249987</v>
      </c>
      <c r="E127" s="726">
        <f t="shared" si="7"/>
        <v>126341.7515909091</v>
      </c>
      <c r="F127" s="726">
        <f t="shared" si="0"/>
        <v>2305736.9665340898</v>
      </c>
      <c r="G127" s="673">
        <f t="shared" si="1"/>
        <v>2368907.842329544</v>
      </c>
      <c r="H127" s="721">
        <f>+J97*G127+E127</f>
        <v>489761.91692884109</v>
      </c>
      <c r="I127" s="727">
        <f>+J98*G127+E127</f>
        <v>489761.91692884109</v>
      </c>
      <c r="J127" s="724">
        <f t="shared" si="2"/>
        <v>0</v>
      </c>
      <c r="K127" s="724"/>
      <c r="L127" s="728"/>
      <c r="M127" s="724">
        <f t="shared" si="3"/>
        <v>0</v>
      </c>
      <c r="N127" s="728"/>
      <c r="O127" s="724">
        <f t="shared" si="4"/>
        <v>0</v>
      </c>
      <c r="P127" s="724">
        <f t="shared" si="5"/>
        <v>0</v>
      </c>
      <c r="Q127" s="674"/>
    </row>
    <row r="128" spans="2:17">
      <c r="B128" s="330"/>
      <c r="C128" s="720">
        <f>IF(D96="","-",+C127+1)</f>
        <v>2035</v>
      </c>
      <c r="D128" s="673">
        <f t="shared" si="6"/>
        <v>2305736.9665340898</v>
      </c>
      <c r="E128" s="726">
        <f t="shared" si="7"/>
        <v>126341.7515909091</v>
      </c>
      <c r="F128" s="726">
        <f t="shared" si="0"/>
        <v>2179395.2149431808</v>
      </c>
      <c r="G128" s="673">
        <f t="shared" si="1"/>
        <v>2242566.0907386355</v>
      </c>
      <c r="H128" s="721">
        <f>+J97*G128+E128</f>
        <v>470379.5081108181</v>
      </c>
      <c r="I128" s="727">
        <f>+J98*G128+E128</f>
        <v>470379.5081108181</v>
      </c>
      <c r="J128" s="724">
        <f t="shared" si="2"/>
        <v>0</v>
      </c>
      <c r="K128" s="724"/>
      <c r="L128" s="728"/>
      <c r="M128" s="724">
        <f t="shared" si="3"/>
        <v>0</v>
      </c>
      <c r="N128" s="728"/>
      <c r="O128" s="724">
        <f t="shared" si="4"/>
        <v>0</v>
      </c>
      <c r="P128" s="724">
        <f t="shared" si="5"/>
        <v>0</v>
      </c>
      <c r="Q128" s="674"/>
    </row>
    <row r="129" spans="2:17">
      <c r="B129" s="330"/>
      <c r="C129" s="720">
        <f>IF(D96="","-",+C128+1)</f>
        <v>2036</v>
      </c>
      <c r="D129" s="673">
        <f t="shared" si="6"/>
        <v>2179395.2149431808</v>
      </c>
      <c r="E129" s="726">
        <f t="shared" si="7"/>
        <v>126341.7515909091</v>
      </c>
      <c r="F129" s="726">
        <f t="shared" si="0"/>
        <v>2053053.4633522716</v>
      </c>
      <c r="G129" s="673">
        <f t="shared" si="1"/>
        <v>2116224.3391477261</v>
      </c>
      <c r="H129" s="721">
        <f>+J97*G129+E129</f>
        <v>450997.099292795</v>
      </c>
      <c r="I129" s="727">
        <f>+J98*G129+E129</f>
        <v>450997.099292795</v>
      </c>
      <c r="J129" s="724">
        <f t="shared" si="2"/>
        <v>0</v>
      </c>
      <c r="K129" s="724"/>
      <c r="L129" s="728"/>
      <c r="M129" s="724">
        <f t="shared" si="3"/>
        <v>0</v>
      </c>
      <c r="N129" s="728"/>
      <c r="O129" s="724">
        <f t="shared" si="4"/>
        <v>0</v>
      </c>
      <c r="P129" s="724">
        <f t="shared" si="5"/>
        <v>0</v>
      </c>
      <c r="Q129" s="674"/>
    </row>
    <row r="130" spans="2:17">
      <c r="B130" s="330"/>
      <c r="C130" s="720">
        <f>IF(D96="","-",+C129+1)</f>
        <v>2037</v>
      </c>
      <c r="D130" s="673">
        <f t="shared" si="6"/>
        <v>2053053.4633522716</v>
      </c>
      <c r="E130" s="726">
        <f t="shared" si="7"/>
        <v>126341.7515909091</v>
      </c>
      <c r="F130" s="726">
        <f t="shared" si="0"/>
        <v>1926711.7117613624</v>
      </c>
      <c r="G130" s="673">
        <f t="shared" si="1"/>
        <v>1989882.5875568171</v>
      </c>
      <c r="H130" s="721">
        <f>+J97*G130+E130</f>
        <v>431614.69047477195</v>
      </c>
      <c r="I130" s="727">
        <f>+J98*G130+E130</f>
        <v>431614.69047477195</v>
      </c>
      <c r="J130" s="724">
        <f t="shared" si="2"/>
        <v>0</v>
      </c>
      <c r="K130" s="724"/>
      <c r="L130" s="728"/>
      <c r="M130" s="724">
        <f t="shared" si="3"/>
        <v>0</v>
      </c>
      <c r="N130" s="728"/>
      <c r="O130" s="724">
        <f t="shared" si="4"/>
        <v>0</v>
      </c>
      <c r="P130" s="724">
        <f t="shared" si="5"/>
        <v>0</v>
      </c>
      <c r="Q130" s="674"/>
    </row>
    <row r="131" spans="2:17">
      <c r="B131" s="330"/>
      <c r="C131" s="720">
        <f>IF(D96="","-",+C130+1)</f>
        <v>2038</v>
      </c>
      <c r="D131" s="673">
        <f t="shared" si="6"/>
        <v>1926711.7117613624</v>
      </c>
      <c r="E131" s="726">
        <f t="shared" si="7"/>
        <v>126341.7515909091</v>
      </c>
      <c r="F131" s="726">
        <f t="shared" si="0"/>
        <v>1800369.9601704532</v>
      </c>
      <c r="G131" s="673">
        <f t="shared" si="1"/>
        <v>1863540.8359659077</v>
      </c>
      <c r="H131" s="721">
        <f>+J97*G131+E131</f>
        <v>412232.28165674885</v>
      </c>
      <c r="I131" s="727">
        <f>+J98*G131+E131</f>
        <v>412232.28165674885</v>
      </c>
      <c r="J131" s="724">
        <f t="shared" si="2"/>
        <v>0</v>
      </c>
      <c r="K131" s="724"/>
      <c r="L131" s="728"/>
      <c r="M131" s="724">
        <f t="shared" si="3"/>
        <v>0</v>
      </c>
      <c r="N131" s="728"/>
      <c r="O131" s="724">
        <f t="shared" si="4"/>
        <v>0</v>
      </c>
      <c r="P131" s="724">
        <f t="shared" si="5"/>
        <v>0</v>
      </c>
      <c r="Q131" s="674"/>
    </row>
    <row r="132" spans="2:17">
      <c r="B132" s="330"/>
      <c r="C132" s="720">
        <f>IF(D96="","-",+C131+1)</f>
        <v>2039</v>
      </c>
      <c r="D132" s="673">
        <f t="shared" si="6"/>
        <v>1800369.9601704532</v>
      </c>
      <c r="E132" s="726">
        <f t="shared" si="7"/>
        <v>126341.7515909091</v>
      </c>
      <c r="F132" s="726">
        <f t="shared" si="0"/>
        <v>1674028.208579544</v>
      </c>
      <c r="G132" s="673">
        <f t="shared" si="1"/>
        <v>1737199.0843749987</v>
      </c>
      <c r="H132" s="721">
        <f>+J97*G132+E132</f>
        <v>392849.87283872586</v>
      </c>
      <c r="I132" s="727">
        <f>+J98*G132+E132</f>
        <v>392849.87283872586</v>
      </c>
      <c r="J132" s="724">
        <f t="shared" si="2"/>
        <v>0</v>
      </c>
      <c r="K132" s="724"/>
      <c r="L132" s="728"/>
      <c r="M132" s="724">
        <f t="shared" si="3"/>
        <v>0</v>
      </c>
      <c r="N132" s="728"/>
      <c r="O132" s="724">
        <f t="shared" si="4"/>
        <v>0</v>
      </c>
      <c r="P132" s="724">
        <f t="shared" si="5"/>
        <v>0</v>
      </c>
      <c r="Q132" s="674"/>
    </row>
    <row r="133" spans="2:17">
      <c r="B133" s="330"/>
      <c r="C133" s="720">
        <f>IF(D96="","-",+C132+1)</f>
        <v>2040</v>
      </c>
      <c r="D133" s="673">
        <f t="shared" si="6"/>
        <v>1674028.208579544</v>
      </c>
      <c r="E133" s="726">
        <f t="shared" si="7"/>
        <v>126341.7515909091</v>
      </c>
      <c r="F133" s="726">
        <f t="shared" si="0"/>
        <v>1547686.4569886348</v>
      </c>
      <c r="G133" s="673">
        <f t="shared" si="1"/>
        <v>1610857.3327840893</v>
      </c>
      <c r="H133" s="721">
        <f>+J97*G133+E133</f>
        <v>373467.46402070276</v>
      </c>
      <c r="I133" s="727">
        <f>+J98*G133+E133</f>
        <v>373467.46402070276</v>
      </c>
      <c r="J133" s="724">
        <f t="shared" si="2"/>
        <v>0</v>
      </c>
      <c r="K133" s="724"/>
      <c r="L133" s="728"/>
      <c r="M133" s="724">
        <f t="shared" si="3"/>
        <v>0</v>
      </c>
      <c r="N133" s="728"/>
      <c r="O133" s="724">
        <f t="shared" si="4"/>
        <v>0</v>
      </c>
      <c r="P133" s="724">
        <f t="shared" si="5"/>
        <v>0</v>
      </c>
      <c r="Q133" s="674"/>
    </row>
    <row r="134" spans="2:17">
      <c r="B134" s="330"/>
      <c r="C134" s="720">
        <f>IF(D96="","-",+C133+1)</f>
        <v>2041</v>
      </c>
      <c r="D134" s="673">
        <f t="shared" si="6"/>
        <v>1547686.4569886348</v>
      </c>
      <c r="E134" s="726">
        <f t="shared" si="7"/>
        <v>126341.7515909091</v>
      </c>
      <c r="F134" s="726">
        <f t="shared" ref="F134:F161" si="8">+D134-E134</f>
        <v>1421344.7053977256</v>
      </c>
      <c r="G134" s="673">
        <f t="shared" ref="G134:G161" si="9">+(D134+F134)/2</f>
        <v>1484515.5811931803</v>
      </c>
      <c r="H134" s="721">
        <f>+J97*G134+E134</f>
        <v>354085.05520267971</v>
      </c>
      <c r="I134" s="727">
        <f>+J98*G134+E134</f>
        <v>354085.05520267971</v>
      </c>
      <c r="J134" s="724">
        <f t="shared" ref="J134:J161" si="10">+I134-H134</f>
        <v>0</v>
      </c>
      <c r="K134" s="724"/>
      <c r="L134" s="728"/>
      <c r="M134" s="724">
        <f t="shared" ref="M134:M161" si="11">IF(L134&lt;&gt;0,+H134-L134,0)</f>
        <v>0</v>
      </c>
      <c r="N134" s="728"/>
      <c r="O134" s="724">
        <f t="shared" ref="O134:O161" si="12">IF(N134&lt;&gt;0,+I134-N134,0)</f>
        <v>0</v>
      </c>
      <c r="P134" s="724">
        <f t="shared" ref="P134:P161" si="13">+O134-M134</f>
        <v>0</v>
      </c>
      <c r="Q134" s="674"/>
    </row>
    <row r="135" spans="2:17">
      <c r="B135" s="330"/>
      <c r="C135" s="720">
        <f>IF(D96="","-",+C134+1)</f>
        <v>2042</v>
      </c>
      <c r="D135" s="673">
        <f t="shared" ref="D135:D161" si="14">F134</f>
        <v>1421344.7053977256</v>
      </c>
      <c r="E135" s="726">
        <f t="shared" ref="E135:E161" si="15">IF(D135&gt;$J$99,$J$99,D135)</f>
        <v>126341.7515909091</v>
      </c>
      <c r="F135" s="726">
        <f t="shared" si="8"/>
        <v>1295002.9538068164</v>
      </c>
      <c r="G135" s="673">
        <f t="shared" si="9"/>
        <v>1358173.8296022709</v>
      </c>
      <c r="H135" s="721">
        <f>+J97*G135+E135</f>
        <v>334702.6463846566</v>
      </c>
      <c r="I135" s="727">
        <f>+J98*G135+E135</f>
        <v>334702.6463846566</v>
      </c>
      <c r="J135" s="724">
        <f t="shared" si="10"/>
        <v>0</v>
      </c>
      <c r="K135" s="724"/>
      <c r="L135" s="728"/>
      <c r="M135" s="724">
        <f t="shared" si="11"/>
        <v>0</v>
      </c>
      <c r="N135" s="728"/>
      <c r="O135" s="724">
        <f t="shared" si="12"/>
        <v>0</v>
      </c>
      <c r="P135" s="724">
        <f t="shared" si="13"/>
        <v>0</v>
      </c>
      <c r="Q135" s="674"/>
    </row>
    <row r="136" spans="2:17">
      <c r="B136" s="330"/>
      <c r="C136" s="720">
        <f>IF(D96="","-",+C135+1)</f>
        <v>2043</v>
      </c>
      <c r="D136" s="673">
        <f t="shared" si="14"/>
        <v>1295002.9538068164</v>
      </c>
      <c r="E136" s="726">
        <f t="shared" si="15"/>
        <v>126341.7515909091</v>
      </c>
      <c r="F136" s="726">
        <f t="shared" si="8"/>
        <v>1168661.2022159072</v>
      </c>
      <c r="G136" s="673">
        <f t="shared" si="9"/>
        <v>1231832.0780113619</v>
      </c>
      <c r="H136" s="721">
        <f>+J97*G136+E136</f>
        <v>315320.23756663356</v>
      </c>
      <c r="I136" s="727">
        <f>+J98*G136+E136</f>
        <v>315320.23756663356</v>
      </c>
      <c r="J136" s="724">
        <f t="shared" si="10"/>
        <v>0</v>
      </c>
      <c r="K136" s="724"/>
      <c r="L136" s="728"/>
      <c r="M136" s="724">
        <f t="shared" si="11"/>
        <v>0</v>
      </c>
      <c r="N136" s="728"/>
      <c r="O136" s="724">
        <f t="shared" si="12"/>
        <v>0</v>
      </c>
      <c r="P136" s="724">
        <f t="shared" si="13"/>
        <v>0</v>
      </c>
      <c r="Q136" s="674"/>
    </row>
    <row r="137" spans="2:17">
      <c r="B137" s="330"/>
      <c r="C137" s="720">
        <f>IF(D96="","-",+C136+1)</f>
        <v>2044</v>
      </c>
      <c r="D137" s="673">
        <f t="shared" si="14"/>
        <v>1168661.2022159072</v>
      </c>
      <c r="E137" s="726">
        <f t="shared" si="15"/>
        <v>126341.7515909091</v>
      </c>
      <c r="F137" s="726">
        <f t="shared" si="8"/>
        <v>1042319.4506249981</v>
      </c>
      <c r="G137" s="673">
        <f t="shared" si="9"/>
        <v>1105490.3264204527</v>
      </c>
      <c r="H137" s="721">
        <f>+J97*G137+E137</f>
        <v>295937.82874861051</v>
      </c>
      <c r="I137" s="727">
        <f>+J98*G137+E137</f>
        <v>295937.82874861051</v>
      </c>
      <c r="J137" s="724">
        <f t="shared" si="10"/>
        <v>0</v>
      </c>
      <c r="K137" s="724"/>
      <c r="L137" s="728"/>
      <c r="M137" s="724">
        <f t="shared" si="11"/>
        <v>0</v>
      </c>
      <c r="N137" s="728"/>
      <c r="O137" s="724">
        <f t="shared" si="12"/>
        <v>0</v>
      </c>
      <c r="P137" s="724">
        <f t="shared" si="13"/>
        <v>0</v>
      </c>
      <c r="Q137" s="674"/>
    </row>
    <row r="138" spans="2:17">
      <c r="B138" s="330"/>
      <c r="C138" s="720">
        <f>IF(D96="","-",+C137+1)</f>
        <v>2045</v>
      </c>
      <c r="D138" s="673">
        <f t="shared" si="14"/>
        <v>1042319.4506249981</v>
      </c>
      <c r="E138" s="726">
        <f t="shared" si="15"/>
        <v>126341.7515909091</v>
      </c>
      <c r="F138" s="726">
        <f t="shared" si="8"/>
        <v>915977.69903408899</v>
      </c>
      <c r="G138" s="673">
        <f t="shared" si="9"/>
        <v>979148.57482954348</v>
      </c>
      <c r="H138" s="721">
        <f>+J97*G138+E138</f>
        <v>276555.41993058746</v>
      </c>
      <c r="I138" s="727">
        <f>+J98*G138+E138</f>
        <v>276555.41993058746</v>
      </c>
      <c r="J138" s="724">
        <f t="shared" si="10"/>
        <v>0</v>
      </c>
      <c r="K138" s="724"/>
      <c r="L138" s="728"/>
      <c r="M138" s="724">
        <f t="shared" si="11"/>
        <v>0</v>
      </c>
      <c r="N138" s="728"/>
      <c r="O138" s="724">
        <f t="shared" si="12"/>
        <v>0</v>
      </c>
      <c r="P138" s="724">
        <f t="shared" si="13"/>
        <v>0</v>
      </c>
      <c r="Q138" s="674"/>
    </row>
    <row r="139" spans="2:17">
      <c r="B139" s="330"/>
      <c r="C139" s="720">
        <f>IF(D96="","-",+C138+1)</f>
        <v>2046</v>
      </c>
      <c r="D139" s="673">
        <f t="shared" si="14"/>
        <v>915977.69903408899</v>
      </c>
      <c r="E139" s="726">
        <f t="shared" si="15"/>
        <v>126341.7515909091</v>
      </c>
      <c r="F139" s="726">
        <f t="shared" si="8"/>
        <v>789635.9474431799</v>
      </c>
      <c r="G139" s="673">
        <f t="shared" si="9"/>
        <v>852806.8232386345</v>
      </c>
      <c r="H139" s="721">
        <f>+J97*G139+E139</f>
        <v>257173.01111256442</v>
      </c>
      <c r="I139" s="727">
        <f>+J98*G139+E139</f>
        <v>257173.01111256442</v>
      </c>
      <c r="J139" s="724">
        <f t="shared" si="10"/>
        <v>0</v>
      </c>
      <c r="K139" s="724"/>
      <c r="L139" s="728"/>
      <c r="M139" s="724">
        <f t="shared" si="11"/>
        <v>0</v>
      </c>
      <c r="N139" s="728"/>
      <c r="O139" s="724">
        <f t="shared" si="12"/>
        <v>0</v>
      </c>
      <c r="P139" s="724">
        <f t="shared" si="13"/>
        <v>0</v>
      </c>
      <c r="Q139" s="674"/>
    </row>
    <row r="140" spans="2:17">
      <c r="B140" s="330"/>
      <c r="C140" s="720">
        <f>IF(D96="","-",+C139+1)</f>
        <v>2047</v>
      </c>
      <c r="D140" s="673">
        <f t="shared" si="14"/>
        <v>789635.9474431799</v>
      </c>
      <c r="E140" s="726">
        <f t="shared" si="15"/>
        <v>126341.7515909091</v>
      </c>
      <c r="F140" s="726">
        <f t="shared" si="8"/>
        <v>663294.19585227082</v>
      </c>
      <c r="G140" s="673">
        <f t="shared" si="9"/>
        <v>726465.0716477253</v>
      </c>
      <c r="H140" s="721">
        <f>+J97*G140+E140</f>
        <v>237790.60229454134</v>
      </c>
      <c r="I140" s="727">
        <f>+J98*G140+E140</f>
        <v>237790.60229454134</v>
      </c>
      <c r="J140" s="724">
        <f t="shared" si="10"/>
        <v>0</v>
      </c>
      <c r="K140" s="724"/>
      <c r="L140" s="728"/>
      <c r="M140" s="724">
        <f t="shared" si="11"/>
        <v>0</v>
      </c>
      <c r="N140" s="728"/>
      <c r="O140" s="724">
        <f t="shared" si="12"/>
        <v>0</v>
      </c>
      <c r="P140" s="724">
        <f t="shared" si="13"/>
        <v>0</v>
      </c>
      <c r="Q140" s="674"/>
    </row>
    <row r="141" spans="2:17">
      <c r="B141" s="330"/>
      <c r="C141" s="720">
        <f>IF(D96="","-",+C140+1)</f>
        <v>2048</v>
      </c>
      <c r="D141" s="673">
        <f t="shared" si="14"/>
        <v>663294.19585227082</v>
      </c>
      <c r="E141" s="726">
        <f t="shared" si="15"/>
        <v>126341.7515909091</v>
      </c>
      <c r="F141" s="726">
        <f t="shared" si="8"/>
        <v>536952.44426136173</v>
      </c>
      <c r="G141" s="673">
        <f t="shared" si="9"/>
        <v>600123.32005681633</v>
      </c>
      <c r="H141" s="721">
        <f>+J97*G141+E141</f>
        <v>218408.19347651833</v>
      </c>
      <c r="I141" s="727">
        <f>+J98*G141+E141</f>
        <v>218408.19347651833</v>
      </c>
      <c r="J141" s="724">
        <f t="shared" si="10"/>
        <v>0</v>
      </c>
      <c r="K141" s="724"/>
      <c r="L141" s="728"/>
      <c r="M141" s="724">
        <f t="shared" si="11"/>
        <v>0</v>
      </c>
      <c r="N141" s="728"/>
      <c r="O141" s="724">
        <f t="shared" si="12"/>
        <v>0</v>
      </c>
      <c r="P141" s="724">
        <f t="shared" si="13"/>
        <v>0</v>
      </c>
      <c r="Q141" s="674"/>
    </row>
    <row r="142" spans="2:17">
      <c r="B142" s="330"/>
      <c r="C142" s="720">
        <f>IF(D96="","-",+C141+1)</f>
        <v>2049</v>
      </c>
      <c r="D142" s="673">
        <f t="shared" si="14"/>
        <v>536952.44426136173</v>
      </c>
      <c r="E142" s="726">
        <f t="shared" si="15"/>
        <v>126341.7515909091</v>
      </c>
      <c r="F142" s="726">
        <f t="shared" si="8"/>
        <v>410610.69267045264</v>
      </c>
      <c r="G142" s="673">
        <f t="shared" si="9"/>
        <v>473781.56846590718</v>
      </c>
      <c r="H142" s="721">
        <f>+J97*G142+E142</f>
        <v>199025.78465849525</v>
      </c>
      <c r="I142" s="727">
        <f>+J98*G142+E142</f>
        <v>199025.78465849525</v>
      </c>
      <c r="J142" s="724">
        <f t="shared" si="10"/>
        <v>0</v>
      </c>
      <c r="K142" s="724"/>
      <c r="L142" s="728"/>
      <c r="M142" s="724">
        <f t="shared" si="11"/>
        <v>0</v>
      </c>
      <c r="N142" s="728"/>
      <c r="O142" s="724">
        <f t="shared" si="12"/>
        <v>0</v>
      </c>
      <c r="P142" s="724">
        <f t="shared" si="13"/>
        <v>0</v>
      </c>
      <c r="Q142" s="674"/>
    </row>
    <row r="143" spans="2:17">
      <c r="B143" s="330"/>
      <c r="C143" s="720">
        <f>IF(D96="","-",+C142+1)</f>
        <v>2050</v>
      </c>
      <c r="D143" s="673">
        <f t="shared" si="14"/>
        <v>410610.69267045264</v>
      </c>
      <c r="E143" s="726">
        <f t="shared" si="15"/>
        <v>126341.7515909091</v>
      </c>
      <c r="F143" s="726">
        <f t="shared" si="8"/>
        <v>284268.94107954355</v>
      </c>
      <c r="G143" s="673">
        <f t="shared" si="9"/>
        <v>347439.8168749981</v>
      </c>
      <c r="H143" s="721">
        <f>+J97*G143+E143</f>
        <v>179643.3758404722</v>
      </c>
      <c r="I143" s="727">
        <f>+J98*G143+E143</f>
        <v>179643.3758404722</v>
      </c>
      <c r="J143" s="724">
        <f t="shared" si="10"/>
        <v>0</v>
      </c>
      <c r="K143" s="724"/>
      <c r="L143" s="728"/>
      <c r="M143" s="724">
        <f t="shared" si="11"/>
        <v>0</v>
      </c>
      <c r="N143" s="728"/>
      <c r="O143" s="724">
        <f t="shared" si="12"/>
        <v>0</v>
      </c>
      <c r="P143" s="724">
        <f t="shared" si="13"/>
        <v>0</v>
      </c>
      <c r="Q143" s="674"/>
    </row>
    <row r="144" spans="2:17">
      <c r="B144" s="330"/>
      <c r="C144" s="720">
        <f>IF(D96="","-",+C143+1)</f>
        <v>2051</v>
      </c>
      <c r="D144" s="673">
        <f t="shared" si="14"/>
        <v>284268.94107954355</v>
      </c>
      <c r="E144" s="726">
        <f t="shared" si="15"/>
        <v>126341.7515909091</v>
      </c>
      <c r="F144" s="726">
        <f t="shared" si="8"/>
        <v>157927.18948863447</v>
      </c>
      <c r="G144" s="673">
        <f t="shared" si="9"/>
        <v>221098.06528408901</v>
      </c>
      <c r="H144" s="721">
        <f>+J97*G144+E144</f>
        <v>160260.96702244916</v>
      </c>
      <c r="I144" s="727">
        <f>+J98*G144+E144</f>
        <v>160260.96702244916</v>
      </c>
      <c r="J144" s="724">
        <f t="shared" si="10"/>
        <v>0</v>
      </c>
      <c r="K144" s="724"/>
      <c r="L144" s="728"/>
      <c r="M144" s="724">
        <f t="shared" si="11"/>
        <v>0</v>
      </c>
      <c r="N144" s="728"/>
      <c r="O144" s="724">
        <f t="shared" si="12"/>
        <v>0</v>
      </c>
      <c r="P144" s="724">
        <f t="shared" si="13"/>
        <v>0</v>
      </c>
      <c r="Q144" s="674"/>
    </row>
    <row r="145" spans="2:17">
      <c r="B145" s="330"/>
      <c r="C145" s="720">
        <f>IF(D96="","-",+C144+1)</f>
        <v>2052</v>
      </c>
      <c r="D145" s="673">
        <f t="shared" si="14"/>
        <v>157927.18948863447</v>
      </c>
      <c r="E145" s="726">
        <f t="shared" si="15"/>
        <v>126341.7515909091</v>
      </c>
      <c r="F145" s="726">
        <f t="shared" si="8"/>
        <v>31585.437897725365</v>
      </c>
      <c r="G145" s="673">
        <f t="shared" si="9"/>
        <v>94756.313693179924</v>
      </c>
      <c r="H145" s="721">
        <f>+J97*G145+E145</f>
        <v>140878.55820442611</v>
      </c>
      <c r="I145" s="727">
        <f>+J98*G145+E145</f>
        <v>140878.55820442611</v>
      </c>
      <c r="J145" s="724">
        <f t="shared" si="10"/>
        <v>0</v>
      </c>
      <c r="K145" s="724"/>
      <c r="L145" s="728"/>
      <c r="M145" s="724">
        <f t="shared" si="11"/>
        <v>0</v>
      </c>
      <c r="N145" s="728"/>
      <c r="O145" s="724">
        <f t="shared" si="12"/>
        <v>0</v>
      </c>
      <c r="P145" s="724">
        <f t="shared" si="13"/>
        <v>0</v>
      </c>
      <c r="Q145" s="674"/>
    </row>
    <row r="146" spans="2:17">
      <c r="B146" s="330"/>
      <c r="C146" s="720">
        <f>IF(D96="","-",+C145+1)</f>
        <v>2053</v>
      </c>
      <c r="D146" s="673">
        <f t="shared" si="14"/>
        <v>31585.437897725365</v>
      </c>
      <c r="E146" s="726">
        <f t="shared" si="15"/>
        <v>31585.437897725365</v>
      </c>
      <c r="F146" s="726">
        <f t="shared" si="8"/>
        <v>0</v>
      </c>
      <c r="G146" s="673">
        <f t="shared" si="9"/>
        <v>15792.718948862683</v>
      </c>
      <c r="H146" s="721">
        <f>+J97*G146+E146</f>
        <v>34008.238999978101</v>
      </c>
      <c r="I146" s="727">
        <f>+J98*G146+E146</f>
        <v>34008.238999978101</v>
      </c>
      <c r="J146" s="724">
        <f t="shared" si="10"/>
        <v>0</v>
      </c>
      <c r="K146" s="724"/>
      <c r="L146" s="728"/>
      <c r="M146" s="724">
        <f t="shared" si="11"/>
        <v>0</v>
      </c>
      <c r="N146" s="728"/>
      <c r="O146" s="724">
        <f t="shared" si="12"/>
        <v>0</v>
      </c>
      <c r="P146" s="724">
        <f t="shared" si="13"/>
        <v>0</v>
      </c>
      <c r="Q146" s="674"/>
    </row>
    <row r="147" spans="2:17">
      <c r="B147" s="330"/>
      <c r="C147" s="720">
        <f>IF(D96="","-",+C146+1)</f>
        <v>2054</v>
      </c>
      <c r="D147" s="673">
        <f t="shared" si="14"/>
        <v>0</v>
      </c>
      <c r="E147" s="726">
        <f t="shared" si="15"/>
        <v>0</v>
      </c>
      <c r="F147" s="726">
        <f t="shared" si="8"/>
        <v>0</v>
      </c>
      <c r="G147" s="673">
        <f t="shared" si="9"/>
        <v>0</v>
      </c>
      <c r="H147" s="721">
        <f>+J97*G147+E147</f>
        <v>0</v>
      </c>
      <c r="I147" s="727">
        <f>+J98*G147+E147</f>
        <v>0</v>
      </c>
      <c r="J147" s="724">
        <f t="shared" si="10"/>
        <v>0</v>
      </c>
      <c r="K147" s="724"/>
      <c r="L147" s="728"/>
      <c r="M147" s="724">
        <f t="shared" si="11"/>
        <v>0</v>
      </c>
      <c r="N147" s="728"/>
      <c r="O147" s="724">
        <f t="shared" si="12"/>
        <v>0</v>
      </c>
      <c r="P147" s="724">
        <f t="shared" si="13"/>
        <v>0</v>
      </c>
      <c r="Q147" s="674"/>
    </row>
    <row r="148" spans="2:17">
      <c r="B148" s="330"/>
      <c r="C148" s="720">
        <f>IF(D96="","-",+C147+1)</f>
        <v>2055</v>
      </c>
      <c r="D148" s="673">
        <f t="shared" si="14"/>
        <v>0</v>
      </c>
      <c r="E148" s="726">
        <f t="shared" si="15"/>
        <v>0</v>
      </c>
      <c r="F148" s="726">
        <f t="shared" si="8"/>
        <v>0</v>
      </c>
      <c r="G148" s="673">
        <f t="shared" si="9"/>
        <v>0</v>
      </c>
      <c r="H148" s="721">
        <f>+J97*G148+E148</f>
        <v>0</v>
      </c>
      <c r="I148" s="727">
        <f>+J98*G148+E148</f>
        <v>0</v>
      </c>
      <c r="J148" s="724">
        <f t="shared" si="10"/>
        <v>0</v>
      </c>
      <c r="K148" s="724"/>
      <c r="L148" s="728"/>
      <c r="M148" s="724">
        <f t="shared" si="11"/>
        <v>0</v>
      </c>
      <c r="N148" s="728"/>
      <c r="O148" s="724">
        <f t="shared" si="12"/>
        <v>0</v>
      </c>
      <c r="P148" s="724">
        <f t="shared" si="13"/>
        <v>0</v>
      </c>
      <c r="Q148" s="674"/>
    </row>
    <row r="149" spans="2:17">
      <c r="B149" s="330"/>
      <c r="C149" s="720">
        <f>IF(D96="","-",+C148+1)</f>
        <v>2056</v>
      </c>
      <c r="D149" s="673">
        <f t="shared" si="14"/>
        <v>0</v>
      </c>
      <c r="E149" s="726">
        <f t="shared" si="15"/>
        <v>0</v>
      </c>
      <c r="F149" s="726">
        <f t="shared" si="8"/>
        <v>0</v>
      </c>
      <c r="G149" s="673">
        <f t="shared" si="9"/>
        <v>0</v>
      </c>
      <c r="H149" s="721">
        <f>+J97*G149+E149</f>
        <v>0</v>
      </c>
      <c r="I149" s="727">
        <f>+J98*G149+E149</f>
        <v>0</v>
      </c>
      <c r="J149" s="724">
        <f t="shared" si="10"/>
        <v>0</v>
      </c>
      <c r="K149" s="724"/>
      <c r="L149" s="728"/>
      <c r="M149" s="724">
        <f t="shared" si="11"/>
        <v>0</v>
      </c>
      <c r="N149" s="728"/>
      <c r="O149" s="724">
        <f t="shared" si="12"/>
        <v>0</v>
      </c>
      <c r="P149" s="724">
        <f t="shared" si="13"/>
        <v>0</v>
      </c>
      <c r="Q149" s="674"/>
    </row>
    <row r="150" spans="2:17">
      <c r="B150" s="330"/>
      <c r="C150" s="720">
        <f>IF(D96="","-",+C149+1)</f>
        <v>2057</v>
      </c>
      <c r="D150" s="673">
        <f t="shared" si="14"/>
        <v>0</v>
      </c>
      <c r="E150" s="726">
        <f t="shared" si="15"/>
        <v>0</v>
      </c>
      <c r="F150" s="726">
        <f t="shared" si="8"/>
        <v>0</v>
      </c>
      <c r="G150" s="673">
        <f t="shared" si="9"/>
        <v>0</v>
      </c>
      <c r="H150" s="721">
        <f>+J97*G150+E150</f>
        <v>0</v>
      </c>
      <c r="I150" s="727">
        <f>+J98*G150+E150</f>
        <v>0</v>
      </c>
      <c r="J150" s="724">
        <f t="shared" si="10"/>
        <v>0</v>
      </c>
      <c r="K150" s="724"/>
      <c r="L150" s="728"/>
      <c r="M150" s="724">
        <f t="shared" si="11"/>
        <v>0</v>
      </c>
      <c r="N150" s="728"/>
      <c r="O150" s="724">
        <f t="shared" si="12"/>
        <v>0</v>
      </c>
      <c r="P150" s="724">
        <f t="shared" si="13"/>
        <v>0</v>
      </c>
      <c r="Q150" s="674"/>
    </row>
    <row r="151" spans="2:17">
      <c r="B151" s="330"/>
      <c r="C151" s="720">
        <f>IF(D96="","-",+C150+1)</f>
        <v>2058</v>
      </c>
      <c r="D151" s="673">
        <f t="shared" si="14"/>
        <v>0</v>
      </c>
      <c r="E151" s="726">
        <f t="shared" si="15"/>
        <v>0</v>
      </c>
      <c r="F151" s="726">
        <f t="shared" si="8"/>
        <v>0</v>
      </c>
      <c r="G151" s="673">
        <f t="shared" si="9"/>
        <v>0</v>
      </c>
      <c r="H151" s="721">
        <f>+J97*G151+E151</f>
        <v>0</v>
      </c>
      <c r="I151" s="727">
        <f>+J98*G151+E151</f>
        <v>0</v>
      </c>
      <c r="J151" s="724">
        <f t="shared" si="10"/>
        <v>0</v>
      </c>
      <c r="K151" s="724"/>
      <c r="L151" s="728"/>
      <c r="M151" s="724">
        <f t="shared" si="11"/>
        <v>0</v>
      </c>
      <c r="N151" s="728"/>
      <c r="O151" s="724">
        <f t="shared" si="12"/>
        <v>0</v>
      </c>
      <c r="P151" s="724">
        <f t="shared" si="13"/>
        <v>0</v>
      </c>
      <c r="Q151" s="674"/>
    </row>
    <row r="152" spans="2:17">
      <c r="B152" s="330"/>
      <c r="C152" s="720">
        <f>IF(D96="","-",+C151+1)</f>
        <v>2059</v>
      </c>
      <c r="D152" s="673">
        <f t="shared" si="14"/>
        <v>0</v>
      </c>
      <c r="E152" s="726">
        <f t="shared" si="15"/>
        <v>0</v>
      </c>
      <c r="F152" s="726">
        <f t="shared" si="8"/>
        <v>0</v>
      </c>
      <c r="G152" s="673">
        <f t="shared" si="9"/>
        <v>0</v>
      </c>
      <c r="H152" s="721">
        <f>+J97*G152+E152</f>
        <v>0</v>
      </c>
      <c r="I152" s="727">
        <f>+J98*G152+E152</f>
        <v>0</v>
      </c>
      <c r="J152" s="724">
        <f t="shared" si="10"/>
        <v>0</v>
      </c>
      <c r="K152" s="724"/>
      <c r="L152" s="728"/>
      <c r="M152" s="724">
        <f t="shared" si="11"/>
        <v>0</v>
      </c>
      <c r="N152" s="728"/>
      <c r="O152" s="724">
        <f t="shared" si="12"/>
        <v>0</v>
      </c>
      <c r="P152" s="724">
        <f t="shared" si="13"/>
        <v>0</v>
      </c>
      <c r="Q152" s="674"/>
    </row>
    <row r="153" spans="2:17">
      <c r="B153" s="330"/>
      <c r="C153" s="720">
        <f>IF(D96="","-",+C152+1)</f>
        <v>2060</v>
      </c>
      <c r="D153" s="673">
        <f t="shared" si="14"/>
        <v>0</v>
      </c>
      <c r="E153" s="726">
        <f t="shared" si="15"/>
        <v>0</v>
      </c>
      <c r="F153" s="726">
        <f t="shared" si="8"/>
        <v>0</v>
      </c>
      <c r="G153" s="673">
        <f t="shared" si="9"/>
        <v>0</v>
      </c>
      <c r="H153" s="721">
        <f>+J97*G153+E153</f>
        <v>0</v>
      </c>
      <c r="I153" s="727">
        <f>+J98*G153+E153</f>
        <v>0</v>
      </c>
      <c r="J153" s="724">
        <f t="shared" si="10"/>
        <v>0</v>
      </c>
      <c r="K153" s="724"/>
      <c r="L153" s="728"/>
      <c r="M153" s="724">
        <f t="shared" si="11"/>
        <v>0</v>
      </c>
      <c r="N153" s="728"/>
      <c r="O153" s="724">
        <f t="shared" si="12"/>
        <v>0</v>
      </c>
      <c r="P153" s="724">
        <f t="shared" si="13"/>
        <v>0</v>
      </c>
      <c r="Q153" s="674"/>
    </row>
    <row r="154" spans="2:17">
      <c r="B154" s="330"/>
      <c r="C154" s="720">
        <f>IF(D96="","-",+C153+1)</f>
        <v>2061</v>
      </c>
      <c r="D154" s="673">
        <f t="shared" si="14"/>
        <v>0</v>
      </c>
      <c r="E154" s="726">
        <f t="shared" si="15"/>
        <v>0</v>
      </c>
      <c r="F154" s="726">
        <f t="shared" si="8"/>
        <v>0</v>
      </c>
      <c r="G154" s="673">
        <f t="shared" si="9"/>
        <v>0</v>
      </c>
      <c r="H154" s="721">
        <f>+J97*G154+E154</f>
        <v>0</v>
      </c>
      <c r="I154" s="727">
        <f>+J98*G154+E154</f>
        <v>0</v>
      </c>
      <c r="J154" s="724">
        <f t="shared" si="10"/>
        <v>0</v>
      </c>
      <c r="K154" s="724"/>
      <c r="L154" s="728"/>
      <c r="M154" s="724">
        <f t="shared" si="11"/>
        <v>0</v>
      </c>
      <c r="N154" s="728"/>
      <c r="O154" s="724">
        <f t="shared" si="12"/>
        <v>0</v>
      </c>
      <c r="P154" s="724">
        <f t="shared" si="13"/>
        <v>0</v>
      </c>
      <c r="Q154" s="674"/>
    </row>
    <row r="155" spans="2:17">
      <c r="B155" s="330"/>
      <c r="C155" s="720">
        <f>IF(D96="","-",+C154+1)</f>
        <v>2062</v>
      </c>
      <c r="D155" s="673">
        <f t="shared" si="14"/>
        <v>0</v>
      </c>
      <c r="E155" s="726">
        <f t="shared" si="15"/>
        <v>0</v>
      </c>
      <c r="F155" s="726">
        <f t="shared" si="8"/>
        <v>0</v>
      </c>
      <c r="G155" s="673">
        <f t="shared" si="9"/>
        <v>0</v>
      </c>
      <c r="H155" s="721">
        <f>+J97*G155+E155</f>
        <v>0</v>
      </c>
      <c r="I155" s="727">
        <f>+J98*G155+E155</f>
        <v>0</v>
      </c>
      <c r="J155" s="724">
        <f t="shared" si="10"/>
        <v>0</v>
      </c>
      <c r="K155" s="724"/>
      <c r="L155" s="728"/>
      <c r="M155" s="724">
        <f t="shared" si="11"/>
        <v>0</v>
      </c>
      <c r="N155" s="728"/>
      <c r="O155" s="724">
        <f t="shared" si="12"/>
        <v>0</v>
      </c>
      <c r="P155" s="724">
        <f t="shared" si="13"/>
        <v>0</v>
      </c>
      <c r="Q155" s="674"/>
    </row>
    <row r="156" spans="2:17">
      <c r="B156" s="330"/>
      <c r="C156" s="720">
        <f>IF(D96="","-",+C155+1)</f>
        <v>2063</v>
      </c>
      <c r="D156" s="673">
        <f t="shared" si="14"/>
        <v>0</v>
      </c>
      <c r="E156" s="726">
        <f t="shared" si="15"/>
        <v>0</v>
      </c>
      <c r="F156" s="726">
        <f t="shared" si="8"/>
        <v>0</v>
      </c>
      <c r="G156" s="673">
        <f t="shared" si="9"/>
        <v>0</v>
      </c>
      <c r="H156" s="721">
        <f>+J97*G156+E156</f>
        <v>0</v>
      </c>
      <c r="I156" s="727">
        <f>+J98*G156+E156</f>
        <v>0</v>
      </c>
      <c r="J156" s="724">
        <f t="shared" si="10"/>
        <v>0</v>
      </c>
      <c r="K156" s="724"/>
      <c r="L156" s="728"/>
      <c r="M156" s="724">
        <f t="shared" si="11"/>
        <v>0</v>
      </c>
      <c r="N156" s="728"/>
      <c r="O156" s="724">
        <f t="shared" si="12"/>
        <v>0</v>
      </c>
      <c r="P156" s="724">
        <f t="shared" si="13"/>
        <v>0</v>
      </c>
      <c r="Q156" s="674"/>
    </row>
    <row r="157" spans="2:17">
      <c r="B157" s="330"/>
      <c r="C157" s="720">
        <f>IF(D96="","-",+C156+1)</f>
        <v>2064</v>
      </c>
      <c r="D157" s="673">
        <f t="shared" si="14"/>
        <v>0</v>
      </c>
      <c r="E157" s="726">
        <f t="shared" si="15"/>
        <v>0</v>
      </c>
      <c r="F157" s="726">
        <f t="shared" si="8"/>
        <v>0</v>
      </c>
      <c r="G157" s="673">
        <f t="shared" si="9"/>
        <v>0</v>
      </c>
      <c r="H157" s="721">
        <f>+J97*G157+E157</f>
        <v>0</v>
      </c>
      <c r="I157" s="727">
        <f>+J98*G157+E157</f>
        <v>0</v>
      </c>
      <c r="J157" s="724">
        <f t="shared" si="10"/>
        <v>0</v>
      </c>
      <c r="K157" s="724"/>
      <c r="L157" s="728"/>
      <c r="M157" s="724">
        <f t="shared" si="11"/>
        <v>0</v>
      </c>
      <c r="N157" s="728"/>
      <c r="O157" s="724">
        <f t="shared" si="12"/>
        <v>0</v>
      </c>
      <c r="P157" s="724">
        <f t="shared" si="13"/>
        <v>0</v>
      </c>
      <c r="Q157" s="674"/>
    </row>
    <row r="158" spans="2:17">
      <c r="B158" s="330"/>
      <c r="C158" s="720">
        <f>IF(D96="","-",+C157+1)</f>
        <v>2065</v>
      </c>
      <c r="D158" s="673">
        <f t="shared" si="14"/>
        <v>0</v>
      </c>
      <c r="E158" s="726">
        <f t="shared" si="15"/>
        <v>0</v>
      </c>
      <c r="F158" s="726">
        <f t="shared" si="8"/>
        <v>0</v>
      </c>
      <c r="G158" s="673">
        <f t="shared" si="9"/>
        <v>0</v>
      </c>
      <c r="H158" s="721">
        <f>+J97*G158+E158</f>
        <v>0</v>
      </c>
      <c r="I158" s="727">
        <f>+J98*G158+E158</f>
        <v>0</v>
      </c>
      <c r="J158" s="724">
        <f t="shared" si="10"/>
        <v>0</v>
      </c>
      <c r="K158" s="724"/>
      <c r="L158" s="728"/>
      <c r="M158" s="724">
        <f t="shared" si="11"/>
        <v>0</v>
      </c>
      <c r="N158" s="728"/>
      <c r="O158" s="724">
        <f t="shared" si="12"/>
        <v>0</v>
      </c>
      <c r="P158" s="724">
        <f t="shared" si="13"/>
        <v>0</v>
      </c>
      <c r="Q158" s="674"/>
    </row>
    <row r="159" spans="2:17">
      <c r="B159" s="330"/>
      <c r="C159" s="720">
        <f>IF(D96="","-",+C158+1)</f>
        <v>2066</v>
      </c>
      <c r="D159" s="673">
        <f t="shared" si="14"/>
        <v>0</v>
      </c>
      <c r="E159" s="726">
        <f t="shared" si="15"/>
        <v>0</v>
      </c>
      <c r="F159" s="726">
        <f t="shared" si="8"/>
        <v>0</v>
      </c>
      <c r="G159" s="673">
        <f t="shared" si="9"/>
        <v>0</v>
      </c>
      <c r="H159" s="721">
        <f>+J97*G159+E159</f>
        <v>0</v>
      </c>
      <c r="I159" s="727">
        <f>+J98*G159+E159</f>
        <v>0</v>
      </c>
      <c r="J159" s="724">
        <f t="shared" si="10"/>
        <v>0</v>
      </c>
      <c r="K159" s="724"/>
      <c r="L159" s="728"/>
      <c r="M159" s="724">
        <f t="shared" si="11"/>
        <v>0</v>
      </c>
      <c r="N159" s="728"/>
      <c r="O159" s="724">
        <f t="shared" si="12"/>
        <v>0</v>
      </c>
      <c r="P159" s="724">
        <f t="shared" si="13"/>
        <v>0</v>
      </c>
      <c r="Q159" s="674"/>
    </row>
    <row r="160" spans="2:17">
      <c r="B160" s="330"/>
      <c r="C160" s="720">
        <f>IF(D96="","-",+C159+1)</f>
        <v>2067</v>
      </c>
      <c r="D160" s="673">
        <f t="shared" si="14"/>
        <v>0</v>
      </c>
      <c r="E160" s="726">
        <f t="shared" si="15"/>
        <v>0</v>
      </c>
      <c r="F160" s="726">
        <f t="shared" si="8"/>
        <v>0</v>
      </c>
      <c r="G160" s="673">
        <f t="shared" si="9"/>
        <v>0</v>
      </c>
      <c r="H160" s="721">
        <f>+J97*G160+E160</f>
        <v>0</v>
      </c>
      <c r="I160" s="727">
        <f>+J98*G160+E160</f>
        <v>0</v>
      </c>
      <c r="J160" s="724">
        <f t="shared" si="10"/>
        <v>0</v>
      </c>
      <c r="K160" s="724"/>
      <c r="L160" s="728"/>
      <c r="M160" s="724">
        <f t="shared" si="11"/>
        <v>0</v>
      </c>
      <c r="N160" s="728"/>
      <c r="O160" s="724">
        <f t="shared" si="12"/>
        <v>0</v>
      </c>
      <c r="P160" s="724">
        <f t="shared" si="13"/>
        <v>0</v>
      </c>
      <c r="Q160" s="674"/>
    </row>
    <row r="161" spans="1:17" ht="13.5" thickBot="1">
      <c r="B161" s="330"/>
      <c r="C161" s="730">
        <f>IF(D96="","-",+C160+1)</f>
        <v>2068</v>
      </c>
      <c r="D161" s="731">
        <f t="shared" si="14"/>
        <v>0</v>
      </c>
      <c r="E161" s="732">
        <f t="shared" si="15"/>
        <v>0</v>
      </c>
      <c r="F161" s="732">
        <f t="shared" si="8"/>
        <v>0</v>
      </c>
      <c r="G161" s="731">
        <f t="shared" si="9"/>
        <v>0</v>
      </c>
      <c r="H161" s="733">
        <f>+J97*G161+E161</f>
        <v>0</v>
      </c>
      <c r="I161" s="733">
        <f>+J98*G161+E161</f>
        <v>0</v>
      </c>
      <c r="J161" s="734">
        <f t="shared" si="10"/>
        <v>0</v>
      </c>
      <c r="K161" s="724"/>
      <c r="L161" s="735"/>
      <c r="M161" s="734">
        <f t="shared" si="11"/>
        <v>0</v>
      </c>
      <c r="N161" s="735"/>
      <c r="O161" s="734">
        <f t="shared" si="12"/>
        <v>0</v>
      </c>
      <c r="P161" s="734">
        <f t="shared" si="13"/>
        <v>0</v>
      </c>
      <c r="Q161" s="674"/>
    </row>
    <row r="162" spans="1:17">
      <c r="B162" s="330"/>
      <c r="C162" s="673" t="s">
        <v>288</v>
      </c>
      <c r="D162" s="669"/>
      <c r="E162" s="669">
        <f>SUM(E102:E161)</f>
        <v>5559037.0700000003</v>
      </c>
      <c r="F162" s="669"/>
      <c r="G162" s="669"/>
      <c r="H162" s="669">
        <f>SUM(H102:H161)</f>
        <v>24534415.302844558</v>
      </c>
      <c r="I162" s="669">
        <f>SUM(I102:I161)</f>
        <v>24534415.302844558</v>
      </c>
      <c r="J162" s="669">
        <f>SUM(J102:J161)</f>
        <v>0</v>
      </c>
      <c r="K162" s="669"/>
      <c r="L162" s="669"/>
      <c r="M162" s="669"/>
      <c r="N162" s="669"/>
      <c r="O162" s="669"/>
      <c r="Q162" s="669"/>
    </row>
    <row r="163" spans="1:17">
      <c r="B163" s="330"/>
      <c r="D163" s="563"/>
      <c r="E163" s="542"/>
      <c r="F163" s="542"/>
      <c r="G163" s="542"/>
      <c r="H163" s="542"/>
      <c r="I163" s="646"/>
      <c r="J163" s="646"/>
      <c r="K163" s="669"/>
      <c r="L163" s="646"/>
      <c r="M163" s="646"/>
      <c r="N163" s="646"/>
      <c r="O163" s="646"/>
      <c r="Q163" s="669"/>
    </row>
    <row r="164" spans="1:17">
      <c r="B164" s="330"/>
      <c r="C164" s="542" t="s">
        <v>595</v>
      </c>
      <c r="D164" s="563"/>
      <c r="E164" s="542"/>
      <c r="F164" s="542"/>
      <c r="G164" s="542"/>
      <c r="H164" s="542"/>
      <c r="I164" s="646"/>
      <c r="J164" s="646"/>
      <c r="K164" s="669"/>
      <c r="L164" s="646"/>
      <c r="M164" s="646"/>
      <c r="N164" s="646"/>
      <c r="O164" s="646"/>
      <c r="Q164" s="669"/>
    </row>
    <row r="165" spans="1:17">
      <c r="B165" s="330"/>
      <c r="D165" s="563"/>
      <c r="E165" s="542"/>
      <c r="F165" s="542"/>
      <c r="G165" s="542"/>
      <c r="H165" s="542"/>
      <c r="I165" s="646"/>
      <c r="J165" s="646"/>
      <c r="K165" s="669"/>
      <c r="L165" s="646"/>
      <c r="M165" s="646"/>
      <c r="N165" s="646"/>
      <c r="O165" s="646"/>
      <c r="Q165" s="669"/>
    </row>
    <row r="166" spans="1:17">
      <c r="B166" s="330"/>
      <c r="C166" s="576" t="s">
        <v>596</v>
      </c>
      <c r="D166" s="673"/>
      <c r="E166" s="673"/>
      <c r="F166" s="673"/>
      <c r="G166" s="673"/>
      <c r="H166" s="669"/>
      <c r="I166" s="669"/>
      <c r="J166" s="674"/>
      <c r="K166" s="674"/>
      <c r="L166" s="674"/>
      <c r="M166" s="674"/>
      <c r="N166" s="674"/>
      <c r="O166" s="674"/>
      <c r="Q166" s="674"/>
    </row>
    <row r="167" spans="1:17">
      <c r="B167" s="330"/>
      <c r="C167" s="576" t="s">
        <v>476</v>
      </c>
      <c r="D167" s="673"/>
      <c r="E167" s="673"/>
      <c r="F167" s="673"/>
      <c r="G167" s="673"/>
      <c r="H167" s="669"/>
      <c r="I167" s="669"/>
      <c r="J167" s="674"/>
      <c r="K167" s="674"/>
      <c r="L167" s="674"/>
      <c r="M167" s="674"/>
      <c r="N167" s="674"/>
      <c r="O167" s="674"/>
      <c r="Q167" s="674"/>
    </row>
    <row r="168" spans="1:17">
      <c r="B168" s="330"/>
      <c r="C168" s="576" t="s">
        <v>289</v>
      </c>
      <c r="D168" s="673"/>
      <c r="E168" s="673"/>
      <c r="F168" s="673"/>
      <c r="G168" s="673"/>
      <c r="H168" s="669"/>
      <c r="I168" s="669"/>
      <c r="J168" s="674"/>
      <c r="K168" s="674"/>
      <c r="L168" s="674"/>
      <c r="M168" s="674"/>
      <c r="N168" s="674"/>
      <c r="O168" s="674"/>
      <c r="Q168" s="674"/>
    </row>
    <row r="169" spans="1:17">
      <c r="B169" s="330"/>
      <c r="C169" s="672"/>
      <c r="D169" s="673"/>
      <c r="E169" s="673"/>
      <c r="F169" s="673"/>
      <c r="G169" s="673"/>
      <c r="H169" s="669"/>
      <c r="I169" s="669"/>
      <c r="J169" s="674"/>
      <c r="K169" s="674"/>
      <c r="L169" s="674"/>
      <c r="M169" s="674"/>
      <c r="N169" s="674"/>
      <c r="O169" s="674"/>
      <c r="Q169" s="674"/>
    </row>
    <row r="170" spans="1:17" ht="20.25">
      <c r="A170" s="675" t="s">
        <v>764</v>
      </c>
      <c r="B170" s="542"/>
      <c r="C170" s="655"/>
      <c r="D170" s="563"/>
      <c r="E170" s="542"/>
      <c r="F170" s="645"/>
      <c r="G170" s="645"/>
      <c r="H170" s="542"/>
      <c r="I170" s="646"/>
      <c r="L170" s="676"/>
      <c r="M170" s="676"/>
      <c r="N170" s="676"/>
      <c r="O170" s="591" t="str">
        <f>"Page "&amp;SUM(Q$3:Q170)&amp;" of "</f>
        <v xml:space="preserve">Page 3 of </v>
      </c>
      <c r="P170" s="592">
        <f>COUNT(Q$8:Q$58212)</f>
        <v>23</v>
      </c>
      <c r="Q170" s="756">
        <v>1</v>
      </c>
    </row>
    <row r="171" spans="1:17">
      <c r="B171" s="542"/>
      <c r="C171" s="542"/>
      <c r="D171" s="563"/>
      <c r="E171" s="542"/>
      <c r="F171" s="542"/>
      <c r="G171" s="542"/>
      <c r="H171" s="542"/>
      <c r="I171" s="646"/>
      <c r="J171" s="542"/>
      <c r="K171" s="588"/>
      <c r="Q171" s="588"/>
    </row>
    <row r="172" spans="1:17" ht="18">
      <c r="B172" s="595" t="s">
        <v>174</v>
      </c>
      <c r="C172" s="677" t="s">
        <v>290</v>
      </c>
      <c r="D172" s="563"/>
      <c r="E172" s="542"/>
      <c r="F172" s="542"/>
      <c r="G172" s="542"/>
      <c r="H172" s="542"/>
      <c r="I172" s="646"/>
      <c r="J172" s="646"/>
      <c r="K172" s="669"/>
      <c r="L172" s="646"/>
      <c r="M172" s="646"/>
      <c r="N172" s="646"/>
      <c r="O172" s="646"/>
      <c r="Q172" s="669"/>
    </row>
    <row r="173" spans="1:17" ht="18.75">
      <c r="B173" s="595"/>
      <c r="C173" s="594"/>
      <c r="D173" s="563"/>
      <c r="E173" s="542"/>
      <c r="F173" s="542"/>
      <c r="G173" s="542"/>
      <c r="H173" s="542"/>
      <c r="I173" s="646"/>
      <c r="J173" s="646"/>
      <c r="K173" s="669"/>
      <c r="L173" s="646"/>
      <c r="M173" s="646"/>
      <c r="N173" s="646"/>
      <c r="O173" s="646"/>
      <c r="Q173" s="669"/>
    </row>
    <row r="174" spans="1:17" ht="18.75">
      <c r="B174" s="595"/>
      <c r="C174" s="594" t="s">
        <v>291</v>
      </c>
      <c r="D174" s="563"/>
      <c r="E174" s="542"/>
      <c r="F174" s="542"/>
      <c r="G174" s="542"/>
      <c r="H174" s="542"/>
      <c r="I174" s="646"/>
      <c r="J174" s="646"/>
      <c r="K174" s="669"/>
      <c r="L174" s="646"/>
      <c r="M174" s="646"/>
      <c r="N174" s="646"/>
      <c r="O174" s="646"/>
      <c r="Q174" s="669"/>
    </row>
    <row r="175" spans="1:17" ht="15.75" thickBot="1">
      <c r="B175" s="330"/>
      <c r="C175" s="396"/>
      <c r="D175" s="563"/>
      <c r="E175" s="542"/>
      <c r="F175" s="542"/>
      <c r="G175" s="542"/>
      <c r="H175" s="542"/>
      <c r="I175" s="646"/>
      <c r="J175" s="646"/>
      <c r="K175" s="669"/>
      <c r="L175" s="646"/>
      <c r="M175" s="646"/>
      <c r="N175" s="646"/>
      <c r="O175" s="646"/>
      <c r="Q175" s="669"/>
    </row>
    <row r="176" spans="1:17" ht="15.75">
      <c r="B176" s="330"/>
      <c r="C176" s="596" t="s">
        <v>292</v>
      </c>
      <c r="D176" s="563"/>
      <c r="E176" s="542"/>
      <c r="F176" s="542"/>
      <c r="G176" s="542"/>
      <c r="H176" s="864"/>
      <c r="I176" s="542" t="s">
        <v>271</v>
      </c>
      <c r="J176" s="542"/>
      <c r="K176" s="588"/>
      <c r="L176" s="757">
        <f>+J182</f>
        <v>2021</v>
      </c>
      <c r="M176" s="739" t="s">
        <v>254</v>
      </c>
      <c r="N176" s="739" t="s">
        <v>255</v>
      </c>
      <c r="O176" s="740" t="s">
        <v>256</v>
      </c>
      <c r="Q176" s="588"/>
    </row>
    <row r="177" spans="1:17" ht="15.75">
      <c r="B177" s="330"/>
      <c r="C177" s="596"/>
      <c r="D177" s="563"/>
      <c r="E177" s="542"/>
      <c r="F177" s="542"/>
      <c r="H177" s="542"/>
      <c r="I177" s="681"/>
      <c r="J177" s="681"/>
      <c r="K177" s="682"/>
      <c r="L177" s="758" t="s">
        <v>455</v>
      </c>
      <c r="M177" s="759">
        <f>VLOOKUP(J182,C189:P248,10)</f>
        <v>901777.82576866914</v>
      </c>
      <c r="N177" s="759">
        <f>VLOOKUP(J182,C189:P248,12)</f>
        <v>901777.82576866914</v>
      </c>
      <c r="O177" s="760">
        <f>+N177-M177</f>
        <v>0</v>
      </c>
      <c r="Q177" s="682"/>
    </row>
    <row r="178" spans="1:17">
      <c r="B178" s="330"/>
      <c r="C178" s="684" t="s">
        <v>293</v>
      </c>
      <c r="D178" s="1712" t="s">
        <v>935</v>
      </c>
      <c r="E178" s="1713"/>
      <c r="F178" s="1713"/>
      <c r="G178" s="1713"/>
      <c r="H178" s="1713"/>
      <c r="I178" s="1713"/>
      <c r="J178" s="646"/>
      <c r="K178" s="669"/>
      <c r="L178" s="758" t="s">
        <v>456</v>
      </c>
      <c r="M178" s="761">
        <f>VLOOKUP(J182,C189:P248,6)</f>
        <v>954660.84238477179</v>
      </c>
      <c r="N178" s="761">
        <f>VLOOKUP(J182,C189:P248,7)</f>
        <v>954660.84238477179</v>
      </c>
      <c r="O178" s="762">
        <f>+N178-M178</f>
        <v>0</v>
      </c>
      <c r="Q178" s="669"/>
    </row>
    <row r="179" spans="1:17" ht="13.5" thickBot="1">
      <c r="B179" s="330"/>
      <c r="C179" s="686"/>
      <c r="D179" s="1713"/>
      <c r="E179" s="1713"/>
      <c r="F179" s="1713"/>
      <c r="G179" s="1713"/>
      <c r="H179" s="1713"/>
      <c r="I179" s="1713"/>
      <c r="J179" s="646"/>
      <c r="K179" s="669"/>
      <c r="L179" s="705" t="s">
        <v>457</v>
      </c>
      <c r="M179" s="763">
        <f>+M178-M177</f>
        <v>52883.016616102657</v>
      </c>
      <c r="N179" s="763">
        <f>+N178-N177</f>
        <v>52883.016616102657</v>
      </c>
      <c r="O179" s="764">
        <f>+O178-O177</f>
        <v>0</v>
      </c>
      <c r="Q179" s="669"/>
    </row>
    <row r="180" spans="1:17" ht="13.5" thickBot="1">
      <c r="B180" s="330"/>
      <c r="C180" s="689"/>
      <c r="D180" s="690"/>
      <c r="E180" s="688"/>
      <c r="F180" s="688"/>
      <c r="G180" s="688"/>
      <c r="H180" s="688"/>
      <c r="I180" s="688"/>
      <c r="J180" s="688"/>
      <c r="K180" s="691"/>
      <c r="L180" s="688"/>
      <c r="M180" s="688"/>
      <c r="N180" s="688"/>
      <c r="O180" s="688"/>
      <c r="P180" s="576"/>
      <c r="Q180" s="691"/>
    </row>
    <row r="181" spans="1:17" ht="13.5" thickBot="1">
      <c r="B181" s="330"/>
      <c r="C181" s="692" t="s">
        <v>294</v>
      </c>
      <c r="D181" s="693"/>
      <c r="E181" s="693"/>
      <c r="F181" s="693"/>
      <c r="G181" s="693"/>
      <c r="H181" s="693"/>
      <c r="I181" s="693"/>
      <c r="J181" s="693"/>
      <c r="K181" s="695"/>
      <c r="P181" s="696"/>
      <c r="Q181" s="695"/>
    </row>
    <row r="182" spans="1:17" ht="15">
      <c r="A182" s="1310"/>
      <c r="B182" s="330"/>
      <c r="C182" s="697" t="s">
        <v>272</v>
      </c>
      <c r="D182" s="1253">
        <v>6529258.7800000003</v>
      </c>
      <c r="E182" s="655" t="s">
        <v>273</v>
      </c>
      <c r="H182" s="698"/>
      <c r="I182" s="698"/>
      <c r="J182" s="699">
        <f>$J$95</f>
        <v>2021</v>
      </c>
      <c r="K182" s="586"/>
      <c r="L182" s="1717" t="s">
        <v>274</v>
      </c>
      <c r="M182" s="1717"/>
      <c r="N182" s="1717"/>
      <c r="O182" s="1717"/>
      <c r="P182" s="588"/>
      <c r="Q182" s="586"/>
    </row>
    <row r="183" spans="1:17">
      <c r="A183" s="1310"/>
      <c r="B183" s="330"/>
      <c r="C183" s="697" t="s">
        <v>275</v>
      </c>
      <c r="D183" s="873">
        <v>2012</v>
      </c>
      <c r="E183" s="697" t="s">
        <v>276</v>
      </c>
      <c r="F183" s="698"/>
      <c r="G183" s="698"/>
      <c r="I183" s="330"/>
      <c r="J183" s="867">
        <v>0</v>
      </c>
      <c r="K183" s="700"/>
      <c r="L183" s="669" t="s">
        <v>475</v>
      </c>
      <c r="P183" s="588"/>
      <c r="Q183" s="700"/>
    </row>
    <row r="184" spans="1:17">
      <c r="A184" s="1310"/>
      <c r="B184" s="330"/>
      <c r="C184" s="697" t="s">
        <v>277</v>
      </c>
      <c r="D184" s="1253">
        <v>11</v>
      </c>
      <c r="E184" s="697" t="s">
        <v>278</v>
      </c>
      <c r="F184" s="698"/>
      <c r="G184" s="698"/>
      <c r="I184" s="330"/>
      <c r="J184" s="701">
        <f>$F$70</f>
        <v>0.15341253840442806</v>
      </c>
      <c r="K184" s="702"/>
      <c r="L184" s="542" t="str">
        <f>"          INPUT TRUE-UP ARR (WITH &amp; WITHOUT INCENTIVES) FROM EACH PRIOR YEAR"</f>
        <v xml:space="preserve">          INPUT TRUE-UP ARR (WITH &amp; WITHOUT INCENTIVES) FROM EACH PRIOR YEAR</v>
      </c>
      <c r="P184" s="588"/>
      <c r="Q184" s="702"/>
    </row>
    <row r="185" spans="1:17">
      <c r="A185" s="1310"/>
      <c r="B185" s="330"/>
      <c r="C185" s="697" t="s">
        <v>279</v>
      </c>
      <c r="D185" s="703">
        <f>H79</f>
        <v>44</v>
      </c>
      <c r="E185" s="697" t="s">
        <v>280</v>
      </c>
      <c r="F185" s="698"/>
      <c r="G185" s="698"/>
      <c r="I185" s="330"/>
      <c r="J185" s="701">
        <f>IF(H176="",J184,$F$69)</f>
        <v>0.15341253840442806</v>
      </c>
      <c r="K185" s="704"/>
      <c r="L185" s="542" t="s">
        <v>362</v>
      </c>
      <c r="M185" s="704"/>
      <c r="N185" s="704"/>
      <c r="O185" s="704"/>
      <c r="P185" s="588"/>
      <c r="Q185" s="704"/>
    </row>
    <row r="186" spans="1:17" ht="13.5" thickBot="1">
      <c r="A186" s="1310"/>
      <c r="B186" s="330"/>
      <c r="C186" s="697" t="s">
        <v>281</v>
      </c>
      <c r="D186" s="866" t="s">
        <v>933</v>
      </c>
      <c r="E186" s="705" t="s">
        <v>282</v>
      </c>
      <c r="F186" s="706"/>
      <c r="G186" s="706"/>
      <c r="H186" s="707"/>
      <c r="I186" s="707"/>
      <c r="J186" s="685">
        <f>IF(D182=0,0,D182/D185)</f>
        <v>148392.245</v>
      </c>
      <c r="K186" s="669"/>
      <c r="L186" s="669" t="s">
        <v>363</v>
      </c>
      <c r="M186" s="669"/>
      <c r="N186" s="669"/>
      <c r="O186" s="669"/>
      <c r="P186" s="588"/>
      <c r="Q186" s="669"/>
    </row>
    <row r="187" spans="1:17" ht="38.25">
      <c r="A187" s="529"/>
      <c r="B187" s="529"/>
      <c r="C187" s="708" t="s">
        <v>272</v>
      </c>
      <c r="D187" s="709" t="s">
        <v>283</v>
      </c>
      <c r="E187" s="710" t="s">
        <v>284</v>
      </c>
      <c r="F187" s="709" t="s">
        <v>285</v>
      </c>
      <c r="G187" s="709" t="s">
        <v>458</v>
      </c>
      <c r="H187" s="710" t="s">
        <v>356</v>
      </c>
      <c r="I187" s="711" t="s">
        <v>356</v>
      </c>
      <c r="J187" s="708" t="s">
        <v>295</v>
      </c>
      <c r="K187" s="712"/>
      <c r="L187" s="710" t="s">
        <v>358</v>
      </c>
      <c r="M187" s="710" t="s">
        <v>364</v>
      </c>
      <c r="N187" s="710" t="s">
        <v>358</v>
      </c>
      <c r="O187" s="710" t="s">
        <v>366</v>
      </c>
      <c r="P187" s="710" t="s">
        <v>286</v>
      </c>
      <c r="Q187" s="713"/>
    </row>
    <row r="188" spans="1:17" ht="13.5" thickBot="1">
      <c r="B188" s="330"/>
      <c r="C188" s="714" t="s">
        <v>177</v>
      </c>
      <c r="D188" s="715" t="s">
        <v>178</v>
      </c>
      <c r="E188" s="714" t="s">
        <v>37</v>
      </c>
      <c r="F188" s="715" t="s">
        <v>178</v>
      </c>
      <c r="G188" s="715" t="s">
        <v>178</v>
      </c>
      <c r="H188" s="716" t="s">
        <v>298</v>
      </c>
      <c r="I188" s="717" t="s">
        <v>300</v>
      </c>
      <c r="J188" s="718" t="s">
        <v>389</v>
      </c>
      <c r="K188" s="719"/>
      <c r="L188" s="716" t="s">
        <v>287</v>
      </c>
      <c r="M188" s="716" t="s">
        <v>287</v>
      </c>
      <c r="N188" s="716" t="s">
        <v>467</v>
      </c>
      <c r="O188" s="716" t="s">
        <v>467</v>
      </c>
      <c r="P188" s="716" t="s">
        <v>467</v>
      </c>
      <c r="Q188" s="586"/>
    </row>
    <row r="189" spans="1:17">
      <c r="B189" s="330"/>
      <c r="C189" s="720">
        <f>IF(D183= "","-",D183)</f>
        <v>2012</v>
      </c>
      <c r="D189" s="673">
        <f>+D182</f>
        <v>6529258.7800000003</v>
      </c>
      <c r="E189" s="721">
        <f>+J186/12*(12-D184)</f>
        <v>12366.020416666666</v>
      </c>
      <c r="F189" s="765">
        <f t="shared" ref="F189:F248" si="16">+D189-E189</f>
        <v>6516892.7595833335</v>
      </c>
      <c r="G189" s="673">
        <f t="shared" ref="G189:G248" si="17">+(D189+F189)/2</f>
        <v>6523075.7697916664</v>
      </c>
      <c r="H189" s="722">
        <f>+J184*G189+E189</f>
        <v>1013087.6324648248</v>
      </c>
      <c r="I189" s="723">
        <f>+J185*G189+E189</f>
        <v>1013087.6324648248</v>
      </c>
      <c r="J189" s="724">
        <f t="shared" ref="J189:J248" si="18">+I189-H189</f>
        <v>0</v>
      </c>
      <c r="K189" s="724"/>
      <c r="L189" s="728">
        <v>832082.12760905991</v>
      </c>
      <c r="M189" s="766">
        <f t="shared" ref="M189:M248" si="19">IF(L189&lt;&gt;0,+H189-L189,0)</f>
        <v>181005.50485576491</v>
      </c>
      <c r="N189" s="728">
        <v>832082.12760905991</v>
      </c>
      <c r="O189" s="766">
        <f t="shared" ref="O189:O248" si="20">IF(N189&lt;&gt;0,+I189-N189,0)</f>
        <v>181005.50485576491</v>
      </c>
      <c r="P189" s="766">
        <f t="shared" ref="P189:P248" si="21">+O189-M189</f>
        <v>0</v>
      </c>
      <c r="Q189" s="674"/>
    </row>
    <row r="190" spans="1:17">
      <c r="B190" s="330"/>
      <c r="C190" s="720">
        <f>IF(D183="","-",+C189+1)</f>
        <v>2013</v>
      </c>
      <c r="D190" s="673">
        <f t="shared" ref="D190:D248" si="22">F189</f>
        <v>6516892.7595833335</v>
      </c>
      <c r="E190" s="726">
        <f>IF(D190&gt;$J$186,$J$186,D190)</f>
        <v>148392.245</v>
      </c>
      <c r="F190" s="726">
        <f t="shared" si="16"/>
        <v>6368500.5145833334</v>
      </c>
      <c r="G190" s="673">
        <f t="shared" si="17"/>
        <v>6442696.637083333</v>
      </c>
      <c r="H190" s="721">
        <f>+J184*G190+E190</f>
        <v>1136782.6902646264</v>
      </c>
      <c r="I190" s="727">
        <f>+J185*G190+E190</f>
        <v>1136782.6902646264</v>
      </c>
      <c r="J190" s="724">
        <f t="shared" si="18"/>
        <v>0</v>
      </c>
      <c r="K190" s="724"/>
      <c r="L190" s="728">
        <v>1210587</v>
      </c>
      <c r="M190" s="724">
        <f t="shared" si="19"/>
        <v>-73804.309735373594</v>
      </c>
      <c r="N190" s="728">
        <v>1210587</v>
      </c>
      <c r="O190" s="724">
        <f t="shared" si="20"/>
        <v>-73804.309735373594</v>
      </c>
      <c r="P190" s="724">
        <f t="shared" si="21"/>
        <v>0</v>
      </c>
      <c r="Q190" s="674"/>
    </row>
    <row r="191" spans="1:17">
      <c r="B191" s="330"/>
      <c r="C191" s="720">
        <f>IF(D183="","-",+C190+1)</f>
        <v>2014</v>
      </c>
      <c r="D191" s="673">
        <f t="shared" si="22"/>
        <v>6368500.5145833334</v>
      </c>
      <c r="E191" s="726">
        <f t="shared" ref="E191:E248" si="23">IF(D191&gt;$J$186,$J$186,D191)</f>
        <v>148392.245</v>
      </c>
      <c r="F191" s="726">
        <f t="shared" si="16"/>
        <v>6220108.2695833333</v>
      </c>
      <c r="G191" s="673">
        <f t="shared" si="17"/>
        <v>6294304.3920833338</v>
      </c>
      <c r="H191" s="721">
        <f>+J184*G191+E191</f>
        <v>1114017.4592796448</v>
      </c>
      <c r="I191" s="727">
        <f>+J185*G191+E191</f>
        <v>1114017.4592796448</v>
      </c>
      <c r="J191" s="724">
        <f t="shared" si="18"/>
        <v>0</v>
      </c>
      <c r="K191" s="724"/>
      <c r="L191" s="728">
        <v>1247628</v>
      </c>
      <c r="M191" s="724">
        <f t="shared" si="19"/>
        <v>-133610.54072035523</v>
      </c>
      <c r="N191" s="728">
        <v>1247628</v>
      </c>
      <c r="O191" s="724">
        <f t="shared" si="20"/>
        <v>-133610.54072035523</v>
      </c>
      <c r="P191" s="724">
        <f t="shared" si="21"/>
        <v>0</v>
      </c>
      <c r="Q191" s="674"/>
    </row>
    <row r="192" spans="1:17">
      <c r="B192" s="330"/>
      <c r="C192" s="720">
        <f>IF(D183="","-",+C191+1)</f>
        <v>2015</v>
      </c>
      <c r="D192" s="673">
        <f t="shared" si="22"/>
        <v>6220108.2695833333</v>
      </c>
      <c r="E192" s="726">
        <f t="shared" si="23"/>
        <v>148392.245</v>
      </c>
      <c r="F192" s="726">
        <f t="shared" si="16"/>
        <v>6071716.0245833332</v>
      </c>
      <c r="G192" s="673">
        <f t="shared" si="17"/>
        <v>6145912.1470833328</v>
      </c>
      <c r="H192" s="721">
        <f>+J184*G192+E192</f>
        <v>1091252.2282946627</v>
      </c>
      <c r="I192" s="727">
        <f>+J185*G192+E192</f>
        <v>1091252.2282946627</v>
      </c>
      <c r="J192" s="724">
        <f t="shared" si="18"/>
        <v>0</v>
      </c>
      <c r="K192" s="724"/>
      <c r="L192" s="728">
        <v>1279512</v>
      </c>
      <c r="M192" s="724">
        <f t="shared" si="19"/>
        <v>-188259.77170533733</v>
      </c>
      <c r="N192" s="728">
        <v>1279512</v>
      </c>
      <c r="O192" s="724">
        <f t="shared" si="20"/>
        <v>-188259.77170533733</v>
      </c>
      <c r="P192" s="724">
        <f t="shared" si="21"/>
        <v>0</v>
      </c>
      <c r="Q192" s="674"/>
    </row>
    <row r="193" spans="2:17">
      <c r="B193" s="330"/>
      <c r="C193" s="720">
        <f>IF(D183="","-",+C192+1)</f>
        <v>2016</v>
      </c>
      <c r="D193" s="673">
        <f t="shared" si="22"/>
        <v>6071716.0245833332</v>
      </c>
      <c r="E193" s="726">
        <f t="shared" si="23"/>
        <v>148392.245</v>
      </c>
      <c r="F193" s="726">
        <f t="shared" si="16"/>
        <v>5923323.7795833331</v>
      </c>
      <c r="G193" s="673">
        <f t="shared" si="17"/>
        <v>5997519.9020833336</v>
      </c>
      <c r="H193" s="721">
        <f>+J184*G193+E193</f>
        <v>1068486.997309681</v>
      </c>
      <c r="I193" s="727">
        <f>+J185*G193+E193</f>
        <v>1068486.997309681</v>
      </c>
      <c r="J193" s="724">
        <f t="shared" si="18"/>
        <v>0</v>
      </c>
      <c r="K193" s="724"/>
      <c r="L193" s="728">
        <v>1233385</v>
      </c>
      <c r="M193" s="724">
        <f t="shared" si="19"/>
        <v>-164898.00269031897</v>
      </c>
      <c r="N193" s="728">
        <v>1233385</v>
      </c>
      <c r="O193" s="724">
        <f t="shared" si="20"/>
        <v>-164898.00269031897</v>
      </c>
      <c r="P193" s="724">
        <f t="shared" si="21"/>
        <v>0</v>
      </c>
      <c r="Q193" s="674"/>
    </row>
    <row r="194" spans="2:17">
      <c r="B194" s="330"/>
      <c r="C194" s="720">
        <f>IF(D183="","-",+C193+1)</f>
        <v>2017</v>
      </c>
      <c r="D194" s="673">
        <f t="shared" si="22"/>
        <v>5923323.7795833331</v>
      </c>
      <c r="E194" s="726">
        <f t="shared" si="23"/>
        <v>148392.245</v>
      </c>
      <c r="F194" s="726">
        <f t="shared" si="16"/>
        <v>5774931.5345833329</v>
      </c>
      <c r="G194" s="673">
        <f t="shared" si="17"/>
        <v>5849127.6570833325</v>
      </c>
      <c r="H194" s="721">
        <f>+J184*G194+E194</f>
        <v>1045721.766324699</v>
      </c>
      <c r="I194" s="727">
        <f>+J185*G194+E194</f>
        <v>1045721.766324699</v>
      </c>
      <c r="J194" s="724">
        <f t="shared" si="18"/>
        <v>0</v>
      </c>
      <c r="K194" s="724"/>
      <c r="L194" s="728">
        <v>1245646</v>
      </c>
      <c r="M194" s="724">
        <f t="shared" si="19"/>
        <v>-199924.23367530096</v>
      </c>
      <c r="N194" s="728">
        <v>1245646</v>
      </c>
      <c r="O194" s="724">
        <f t="shared" si="20"/>
        <v>-199924.23367530096</v>
      </c>
      <c r="P194" s="724">
        <f t="shared" si="21"/>
        <v>0</v>
      </c>
      <c r="Q194" s="674"/>
    </row>
    <row r="195" spans="2:17">
      <c r="B195" s="330"/>
      <c r="C195" s="720">
        <f>IF(D183="","-",+C194+1)</f>
        <v>2018</v>
      </c>
      <c r="D195" s="1455">
        <f t="shared" si="22"/>
        <v>5774931.5345833329</v>
      </c>
      <c r="E195" s="726">
        <f t="shared" si="23"/>
        <v>148392.245</v>
      </c>
      <c r="F195" s="726">
        <f t="shared" si="16"/>
        <v>5626539.2895833328</v>
      </c>
      <c r="G195" s="673">
        <f t="shared" si="17"/>
        <v>5700735.4120833334</v>
      </c>
      <c r="H195" s="721">
        <f>+J184*G195+E195</f>
        <v>1022956.5353397174</v>
      </c>
      <c r="I195" s="727">
        <f>+J185*G195+E195</f>
        <v>1022956.5353397174</v>
      </c>
      <c r="J195" s="724">
        <f t="shared" si="18"/>
        <v>0</v>
      </c>
      <c r="K195" s="724"/>
      <c r="L195" s="728">
        <v>1010825</v>
      </c>
      <c r="M195" s="724">
        <f t="shared" si="19"/>
        <v>12131.535339717404</v>
      </c>
      <c r="N195" s="728">
        <v>1010825</v>
      </c>
      <c r="O195" s="724">
        <f t="shared" si="20"/>
        <v>12131.535339717404</v>
      </c>
      <c r="P195" s="724">
        <f t="shared" si="21"/>
        <v>0</v>
      </c>
      <c r="Q195" s="674"/>
    </row>
    <row r="196" spans="2:17">
      <c r="B196" s="330"/>
      <c r="C196" s="720">
        <f>IF(D183="","-",+C195+1)</f>
        <v>2019</v>
      </c>
      <c r="D196" s="673">
        <f t="shared" si="22"/>
        <v>5626539.2895833328</v>
      </c>
      <c r="E196" s="726">
        <f t="shared" si="23"/>
        <v>148392.245</v>
      </c>
      <c r="F196" s="726">
        <f t="shared" si="16"/>
        <v>5478147.0445833327</v>
      </c>
      <c r="G196" s="673">
        <f t="shared" si="17"/>
        <v>5552343.1670833323</v>
      </c>
      <c r="H196" s="721">
        <f>+J184*G196+E196</f>
        <v>1000191.3043547354</v>
      </c>
      <c r="I196" s="727">
        <f>+J185*G196+E196</f>
        <v>1000191.3043547354</v>
      </c>
      <c r="J196" s="724">
        <f t="shared" si="18"/>
        <v>0</v>
      </c>
      <c r="K196" s="724"/>
      <c r="L196" s="1452">
        <v>982301</v>
      </c>
      <c r="M196" s="724">
        <f t="shared" si="19"/>
        <v>17890.304354735417</v>
      </c>
      <c r="N196" s="728">
        <v>982301</v>
      </c>
      <c r="O196" s="724">
        <f t="shared" si="20"/>
        <v>17890.304354735417</v>
      </c>
      <c r="P196" s="724">
        <f t="shared" si="21"/>
        <v>0</v>
      </c>
      <c r="Q196" s="674"/>
    </row>
    <row r="197" spans="2:17">
      <c r="B197" s="330"/>
      <c r="C197" s="720">
        <f>IF(D183="","-",+C196+1)</f>
        <v>2020</v>
      </c>
      <c r="D197" s="673">
        <f t="shared" si="22"/>
        <v>5478147.0445833327</v>
      </c>
      <c r="E197" s="726">
        <f t="shared" si="23"/>
        <v>148392.245</v>
      </c>
      <c r="F197" s="726">
        <f t="shared" si="16"/>
        <v>5329754.7995833326</v>
      </c>
      <c r="G197" s="673">
        <f t="shared" si="17"/>
        <v>5403950.9220833331</v>
      </c>
      <c r="H197" s="721">
        <f>+J184*G197+E197</f>
        <v>977426.07336975378</v>
      </c>
      <c r="I197" s="727">
        <f>+J185*G197+E197</f>
        <v>977426.07336975378</v>
      </c>
      <c r="J197" s="724">
        <f t="shared" si="18"/>
        <v>0</v>
      </c>
      <c r="K197" s="724"/>
      <c r="L197" s="728">
        <v>945780.64156590321</v>
      </c>
      <c r="M197" s="724">
        <f t="shared" si="19"/>
        <v>31645.431803850573</v>
      </c>
      <c r="N197" s="1548">
        <v>945780.64156590321</v>
      </c>
      <c r="O197" s="724">
        <f t="shared" si="20"/>
        <v>31645.431803850573</v>
      </c>
      <c r="P197" s="724">
        <f t="shared" si="21"/>
        <v>0</v>
      </c>
      <c r="Q197" s="674"/>
    </row>
    <row r="198" spans="2:17">
      <c r="B198" s="330"/>
      <c r="C198" s="1291">
        <f>IF(D183="","-",+C197+1)</f>
        <v>2021</v>
      </c>
      <c r="D198" s="673">
        <f t="shared" si="22"/>
        <v>5329754.7995833326</v>
      </c>
      <c r="E198" s="726">
        <f t="shared" si="23"/>
        <v>148392.245</v>
      </c>
      <c r="F198" s="726">
        <f t="shared" si="16"/>
        <v>5181362.5545833325</v>
      </c>
      <c r="G198" s="673">
        <f t="shared" si="17"/>
        <v>5255558.6770833321</v>
      </c>
      <c r="H198" s="721">
        <f>+J184*G198+E198</f>
        <v>954660.84238477179</v>
      </c>
      <c r="I198" s="727">
        <f>+J185*G198+E198</f>
        <v>954660.84238477179</v>
      </c>
      <c r="J198" s="724">
        <f t="shared" si="18"/>
        <v>0</v>
      </c>
      <c r="K198" s="724"/>
      <c r="L198" s="728">
        <v>901777.82576866914</v>
      </c>
      <c r="M198" s="724">
        <f t="shared" si="19"/>
        <v>52883.016616102657</v>
      </c>
      <c r="N198" s="1548">
        <v>901777.82576866914</v>
      </c>
      <c r="O198" s="724">
        <f t="shared" si="20"/>
        <v>52883.016616102657</v>
      </c>
      <c r="P198" s="724">
        <f t="shared" si="21"/>
        <v>0</v>
      </c>
      <c r="Q198" s="674"/>
    </row>
    <row r="199" spans="2:17">
      <c r="B199" s="330"/>
      <c r="C199" s="720">
        <f>IF(D183="","-",+C198+1)</f>
        <v>2022</v>
      </c>
      <c r="D199" s="673">
        <f t="shared" si="22"/>
        <v>5181362.5545833325</v>
      </c>
      <c r="E199" s="726">
        <f t="shared" si="23"/>
        <v>148392.245</v>
      </c>
      <c r="F199" s="726">
        <f t="shared" si="16"/>
        <v>5032970.3095833324</v>
      </c>
      <c r="G199" s="673">
        <f t="shared" si="17"/>
        <v>5107166.4320833329</v>
      </c>
      <c r="H199" s="721">
        <f>+J184*G199+E199</f>
        <v>931895.61139979016</v>
      </c>
      <c r="I199" s="727">
        <f>+J185*G199+E199</f>
        <v>931895.61139979016</v>
      </c>
      <c r="J199" s="724">
        <f t="shared" si="18"/>
        <v>0</v>
      </c>
      <c r="K199" s="724"/>
      <c r="L199" s="728"/>
      <c r="M199" s="724">
        <f t="shared" si="19"/>
        <v>0</v>
      </c>
      <c r="N199" s="728"/>
      <c r="O199" s="724">
        <f t="shared" si="20"/>
        <v>0</v>
      </c>
      <c r="P199" s="724">
        <f t="shared" si="21"/>
        <v>0</v>
      </c>
      <c r="Q199" s="674"/>
    </row>
    <row r="200" spans="2:17">
      <c r="B200" s="330"/>
      <c r="C200" s="720">
        <f>IF(D183="","-",+C199+1)</f>
        <v>2023</v>
      </c>
      <c r="D200" s="673">
        <f t="shared" si="22"/>
        <v>5032970.3095833324</v>
      </c>
      <c r="E200" s="726">
        <f t="shared" si="23"/>
        <v>148392.245</v>
      </c>
      <c r="F200" s="726">
        <f t="shared" si="16"/>
        <v>4884578.0645833323</v>
      </c>
      <c r="G200" s="673">
        <f t="shared" si="17"/>
        <v>4958774.1870833319</v>
      </c>
      <c r="H200" s="721">
        <f>+J184*G200+E200</f>
        <v>909130.38041480817</v>
      </c>
      <c r="I200" s="727">
        <f>+J185*G200+E200</f>
        <v>909130.38041480817</v>
      </c>
      <c r="J200" s="724">
        <f t="shared" si="18"/>
        <v>0</v>
      </c>
      <c r="K200" s="724"/>
      <c r="L200" s="728"/>
      <c r="M200" s="724">
        <f t="shared" si="19"/>
        <v>0</v>
      </c>
      <c r="N200" s="728"/>
      <c r="O200" s="724">
        <f t="shared" si="20"/>
        <v>0</v>
      </c>
      <c r="P200" s="724">
        <f t="shared" si="21"/>
        <v>0</v>
      </c>
      <c r="Q200" s="674"/>
    </row>
    <row r="201" spans="2:17">
      <c r="B201" s="330"/>
      <c r="C201" s="720">
        <f>IF(D183="","-",+C200+1)</f>
        <v>2024</v>
      </c>
      <c r="D201" s="673">
        <f t="shared" si="22"/>
        <v>4884578.0645833323</v>
      </c>
      <c r="E201" s="726">
        <f t="shared" si="23"/>
        <v>148392.245</v>
      </c>
      <c r="F201" s="726">
        <f t="shared" si="16"/>
        <v>4736185.8195833322</v>
      </c>
      <c r="G201" s="673">
        <f t="shared" si="17"/>
        <v>4810381.9420833327</v>
      </c>
      <c r="H201" s="721">
        <f>+J184*G201+E201</f>
        <v>886365.14942982653</v>
      </c>
      <c r="I201" s="727">
        <f>+J185*G201+E201</f>
        <v>886365.14942982653</v>
      </c>
      <c r="J201" s="724">
        <f t="shared" si="18"/>
        <v>0</v>
      </c>
      <c r="K201" s="724"/>
      <c r="L201" s="728"/>
      <c r="M201" s="724">
        <f t="shared" si="19"/>
        <v>0</v>
      </c>
      <c r="N201" s="728"/>
      <c r="O201" s="724">
        <f t="shared" si="20"/>
        <v>0</v>
      </c>
      <c r="P201" s="724">
        <f t="shared" si="21"/>
        <v>0</v>
      </c>
      <c r="Q201" s="674"/>
    </row>
    <row r="202" spans="2:17">
      <c r="B202" s="330"/>
      <c r="C202" s="720">
        <f>IF(D183="","-",+C201+1)</f>
        <v>2025</v>
      </c>
      <c r="D202" s="673">
        <f t="shared" si="22"/>
        <v>4736185.8195833322</v>
      </c>
      <c r="E202" s="726">
        <f t="shared" si="23"/>
        <v>148392.245</v>
      </c>
      <c r="F202" s="726">
        <f t="shared" si="16"/>
        <v>4587793.5745833321</v>
      </c>
      <c r="G202" s="673">
        <f t="shared" si="17"/>
        <v>4661989.6970833316</v>
      </c>
      <c r="H202" s="721">
        <f>+J184*G202+E202</f>
        <v>863599.91844484454</v>
      </c>
      <c r="I202" s="727">
        <f>+J185*G202+E202</f>
        <v>863599.91844484454</v>
      </c>
      <c r="J202" s="724">
        <f t="shared" si="18"/>
        <v>0</v>
      </c>
      <c r="K202" s="724"/>
      <c r="L202" s="728"/>
      <c r="M202" s="724">
        <f t="shared" si="19"/>
        <v>0</v>
      </c>
      <c r="N202" s="728"/>
      <c r="O202" s="724">
        <f t="shared" si="20"/>
        <v>0</v>
      </c>
      <c r="P202" s="724">
        <f t="shared" si="21"/>
        <v>0</v>
      </c>
      <c r="Q202" s="674"/>
    </row>
    <row r="203" spans="2:17">
      <c r="B203" s="330"/>
      <c r="C203" s="720">
        <f>IF(D183="","-",+C202+1)</f>
        <v>2026</v>
      </c>
      <c r="D203" s="673">
        <f t="shared" si="22"/>
        <v>4587793.5745833321</v>
      </c>
      <c r="E203" s="726">
        <f t="shared" si="23"/>
        <v>148392.245</v>
      </c>
      <c r="F203" s="726">
        <f t="shared" si="16"/>
        <v>4439401.3295833319</v>
      </c>
      <c r="G203" s="673">
        <f t="shared" si="17"/>
        <v>4513597.4520833325</v>
      </c>
      <c r="H203" s="721">
        <f>+J184*G203+E203</f>
        <v>840834.68745986291</v>
      </c>
      <c r="I203" s="727">
        <f>+J185*G203+E203</f>
        <v>840834.68745986291</v>
      </c>
      <c r="J203" s="724">
        <f t="shared" si="18"/>
        <v>0</v>
      </c>
      <c r="K203" s="724"/>
      <c r="L203" s="728"/>
      <c r="M203" s="724">
        <f t="shared" si="19"/>
        <v>0</v>
      </c>
      <c r="N203" s="728"/>
      <c r="O203" s="724">
        <f t="shared" si="20"/>
        <v>0</v>
      </c>
      <c r="P203" s="724">
        <f t="shared" si="21"/>
        <v>0</v>
      </c>
      <c r="Q203" s="674"/>
    </row>
    <row r="204" spans="2:17">
      <c r="B204" s="330"/>
      <c r="C204" s="720">
        <f>IF(D183="","-",+C203+1)</f>
        <v>2027</v>
      </c>
      <c r="D204" s="673">
        <f t="shared" si="22"/>
        <v>4439401.3295833319</v>
      </c>
      <c r="E204" s="726">
        <f t="shared" si="23"/>
        <v>148392.245</v>
      </c>
      <c r="F204" s="726">
        <f t="shared" si="16"/>
        <v>4291009.0845833318</v>
      </c>
      <c r="G204" s="673">
        <f t="shared" si="17"/>
        <v>4365205.2070833314</v>
      </c>
      <c r="H204" s="721">
        <f>+J184*G204+E204</f>
        <v>818069.45647488092</v>
      </c>
      <c r="I204" s="727">
        <f>+J185*G204+E204</f>
        <v>818069.45647488092</v>
      </c>
      <c r="J204" s="724">
        <f t="shared" si="18"/>
        <v>0</v>
      </c>
      <c r="K204" s="724"/>
      <c r="L204" s="728"/>
      <c r="M204" s="724">
        <f t="shared" si="19"/>
        <v>0</v>
      </c>
      <c r="N204" s="728"/>
      <c r="O204" s="724">
        <f t="shared" si="20"/>
        <v>0</v>
      </c>
      <c r="P204" s="724">
        <f t="shared" si="21"/>
        <v>0</v>
      </c>
      <c r="Q204" s="674"/>
    </row>
    <row r="205" spans="2:17">
      <c r="B205" s="330"/>
      <c r="C205" s="720">
        <f>IF(D183="","-",+C204+1)</f>
        <v>2028</v>
      </c>
      <c r="D205" s="673">
        <f t="shared" si="22"/>
        <v>4291009.0845833318</v>
      </c>
      <c r="E205" s="726">
        <f t="shared" si="23"/>
        <v>148392.245</v>
      </c>
      <c r="F205" s="726">
        <f t="shared" si="16"/>
        <v>4142616.8395833317</v>
      </c>
      <c r="G205" s="673">
        <f t="shared" si="17"/>
        <v>4216812.9620833322</v>
      </c>
      <c r="H205" s="721">
        <f>+J184*G205+E205</f>
        <v>795304.22548989928</v>
      </c>
      <c r="I205" s="727">
        <f>+J185*G205+E205</f>
        <v>795304.22548989928</v>
      </c>
      <c r="J205" s="724">
        <f t="shared" si="18"/>
        <v>0</v>
      </c>
      <c r="K205" s="724"/>
      <c r="L205" s="728"/>
      <c r="M205" s="724">
        <f t="shared" si="19"/>
        <v>0</v>
      </c>
      <c r="N205" s="728"/>
      <c r="O205" s="724">
        <f t="shared" si="20"/>
        <v>0</v>
      </c>
      <c r="P205" s="724">
        <f t="shared" si="21"/>
        <v>0</v>
      </c>
      <c r="Q205" s="674"/>
    </row>
    <row r="206" spans="2:17">
      <c r="B206" s="330"/>
      <c r="C206" s="720">
        <f>IF(D183="","-",+C205+1)</f>
        <v>2029</v>
      </c>
      <c r="D206" s="673">
        <f t="shared" si="22"/>
        <v>4142616.8395833317</v>
      </c>
      <c r="E206" s="726">
        <f t="shared" si="23"/>
        <v>148392.245</v>
      </c>
      <c r="F206" s="726">
        <f t="shared" si="16"/>
        <v>3994224.5945833316</v>
      </c>
      <c r="G206" s="673">
        <f t="shared" si="17"/>
        <v>4068420.7170833317</v>
      </c>
      <c r="H206" s="721">
        <f>+J184*G206+E206</f>
        <v>772538.99450491741</v>
      </c>
      <c r="I206" s="727">
        <f>+J185*G206+E206</f>
        <v>772538.99450491741</v>
      </c>
      <c r="J206" s="724">
        <f t="shared" si="18"/>
        <v>0</v>
      </c>
      <c r="K206" s="724"/>
      <c r="L206" s="728"/>
      <c r="M206" s="724">
        <f t="shared" si="19"/>
        <v>0</v>
      </c>
      <c r="N206" s="728"/>
      <c r="O206" s="724">
        <f t="shared" si="20"/>
        <v>0</v>
      </c>
      <c r="P206" s="724">
        <f t="shared" si="21"/>
        <v>0</v>
      </c>
      <c r="Q206" s="674"/>
    </row>
    <row r="207" spans="2:17">
      <c r="B207" s="330"/>
      <c r="C207" s="720">
        <f>IF(D183="","-",+C206+1)</f>
        <v>2030</v>
      </c>
      <c r="D207" s="673">
        <f t="shared" si="22"/>
        <v>3994224.5945833316</v>
      </c>
      <c r="E207" s="726">
        <f t="shared" si="23"/>
        <v>148392.245</v>
      </c>
      <c r="F207" s="726">
        <f t="shared" si="16"/>
        <v>3845832.3495833315</v>
      </c>
      <c r="G207" s="673">
        <f t="shared" si="17"/>
        <v>3920028.4720833316</v>
      </c>
      <c r="H207" s="721">
        <f>+J184*G207+E207</f>
        <v>749773.76351993554</v>
      </c>
      <c r="I207" s="727">
        <f>+J185*G207+E207</f>
        <v>749773.76351993554</v>
      </c>
      <c r="J207" s="724">
        <f t="shared" si="18"/>
        <v>0</v>
      </c>
      <c r="K207" s="724"/>
      <c r="L207" s="728"/>
      <c r="M207" s="724">
        <f t="shared" si="19"/>
        <v>0</v>
      </c>
      <c r="N207" s="728"/>
      <c r="O207" s="724">
        <f t="shared" si="20"/>
        <v>0</v>
      </c>
      <c r="P207" s="724">
        <f t="shared" si="21"/>
        <v>0</v>
      </c>
      <c r="Q207" s="674"/>
    </row>
    <row r="208" spans="2:17">
      <c r="B208" s="330"/>
      <c r="C208" s="720">
        <f>IF(D183="","-",+C207+1)</f>
        <v>2031</v>
      </c>
      <c r="D208" s="673">
        <f t="shared" si="22"/>
        <v>3845832.3495833315</v>
      </c>
      <c r="E208" s="726">
        <f t="shared" si="23"/>
        <v>148392.245</v>
      </c>
      <c r="F208" s="726">
        <f t="shared" si="16"/>
        <v>3697440.1045833314</v>
      </c>
      <c r="G208" s="673">
        <f t="shared" si="17"/>
        <v>3771636.2270833314</v>
      </c>
      <c r="H208" s="721">
        <f>+J184*G208+E208</f>
        <v>727008.53253495379</v>
      </c>
      <c r="I208" s="727">
        <f>+J185*G208+E208</f>
        <v>727008.53253495379</v>
      </c>
      <c r="J208" s="724">
        <f t="shared" si="18"/>
        <v>0</v>
      </c>
      <c r="K208" s="724"/>
      <c r="L208" s="728"/>
      <c r="M208" s="724">
        <f t="shared" si="19"/>
        <v>0</v>
      </c>
      <c r="N208" s="728"/>
      <c r="O208" s="724">
        <f t="shared" si="20"/>
        <v>0</v>
      </c>
      <c r="P208" s="724">
        <f t="shared" si="21"/>
        <v>0</v>
      </c>
      <c r="Q208" s="674"/>
    </row>
    <row r="209" spans="2:17">
      <c r="B209" s="330"/>
      <c r="C209" s="720">
        <f>IF(D183="","-",+C208+1)</f>
        <v>2032</v>
      </c>
      <c r="D209" s="673">
        <f t="shared" si="22"/>
        <v>3697440.1045833314</v>
      </c>
      <c r="E209" s="726">
        <f t="shared" si="23"/>
        <v>148392.245</v>
      </c>
      <c r="F209" s="726">
        <f t="shared" si="16"/>
        <v>3549047.8595833313</v>
      </c>
      <c r="G209" s="673">
        <f t="shared" si="17"/>
        <v>3623243.9820833313</v>
      </c>
      <c r="H209" s="721">
        <f>+J184*G209+E209</f>
        <v>704243.30154997192</v>
      </c>
      <c r="I209" s="727">
        <f>+J185*G209+E209</f>
        <v>704243.30154997192</v>
      </c>
      <c r="J209" s="724">
        <f t="shared" si="18"/>
        <v>0</v>
      </c>
      <c r="K209" s="724"/>
      <c r="L209" s="728"/>
      <c r="M209" s="724">
        <f t="shared" si="19"/>
        <v>0</v>
      </c>
      <c r="N209" s="728"/>
      <c r="O209" s="724">
        <f t="shared" si="20"/>
        <v>0</v>
      </c>
      <c r="P209" s="724">
        <f t="shared" si="21"/>
        <v>0</v>
      </c>
      <c r="Q209" s="674"/>
    </row>
    <row r="210" spans="2:17">
      <c r="B210" s="330"/>
      <c r="C210" s="720">
        <f>IF(D183="","-",+C209+1)</f>
        <v>2033</v>
      </c>
      <c r="D210" s="673">
        <f t="shared" si="22"/>
        <v>3549047.8595833313</v>
      </c>
      <c r="E210" s="726">
        <f t="shared" si="23"/>
        <v>148392.245</v>
      </c>
      <c r="F210" s="726">
        <f t="shared" si="16"/>
        <v>3400655.6145833312</v>
      </c>
      <c r="G210" s="673">
        <f t="shared" si="17"/>
        <v>3474851.7370833312</v>
      </c>
      <c r="H210" s="721">
        <f>+J184*G210+E210</f>
        <v>681478.07056499016</v>
      </c>
      <c r="I210" s="727">
        <f>+J185*G210+E210</f>
        <v>681478.07056499016</v>
      </c>
      <c r="J210" s="724">
        <f t="shared" si="18"/>
        <v>0</v>
      </c>
      <c r="K210" s="724"/>
      <c r="L210" s="728"/>
      <c r="M210" s="724">
        <f t="shared" si="19"/>
        <v>0</v>
      </c>
      <c r="N210" s="728"/>
      <c r="O210" s="724">
        <f t="shared" si="20"/>
        <v>0</v>
      </c>
      <c r="P210" s="724">
        <f t="shared" si="21"/>
        <v>0</v>
      </c>
      <c r="Q210" s="674"/>
    </row>
    <row r="211" spans="2:17">
      <c r="B211" s="330"/>
      <c r="C211" s="720">
        <f>IF(D183="","-",+C210+1)</f>
        <v>2034</v>
      </c>
      <c r="D211" s="673">
        <f t="shared" si="22"/>
        <v>3400655.6145833312</v>
      </c>
      <c r="E211" s="726">
        <f t="shared" si="23"/>
        <v>148392.245</v>
      </c>
      <c r="F211" s="726">
        <f t="shared" si="16"/>
        <v>3252263.369583331</v>
      </c>
      <c r="G211" s="673">
        <f t="shared" si="17"/>
        <v>3326459.4920833311</v>
      </c>
      <c r="H211" s="721">
        <f>+J184*G211+E211</f>
        <v>658712.83958000829</v>
      </c>
      <c r="I211" s="727">
        <f>+J185*G211+E211</f>
        <v>658712.83958000829</v>
      </c>
      <c r="J211" s="724">
        <f t="shared" si="18"/>
        <v>0</v>
      </c>
      <c r="K211" s="724"/>
      <c r="L211" s="728"/>
      <c r="M211" s="724">
        <f t="shared" si="19"/>
        <v>0</v>
      </c>
      <c r="N211" s="728"/>
      <c r="O211" s="724">
        <f t="shared" si="20"/>
        <v>0</v>
      </c>
      <c r="P211" s="724">
        <f t="shared" si="21"/>
        <v>0</v>
      </c>
      <c r="Q211" s="674"/>
    </row>
    <row r="212" spans="2:17">
      <c r="B212" s="330"/>
      <c r="C212" s="720">
        <f>IF(D183="","-",+C211+1)</f>
        <v>2035</v>
      </c>
      <c r="D212" s="673">
        <f t="shared" si="22"/>
        <v>3252263.369583331</v>
      </c>
      <c r="E212" s="726">
        <f t="shared" si="23"/>
        <v>148392.245</v>
      </c>
      <c r="F212" s="726">
        <f t="shared" si="16"/>
        <v>3103871.1245833309</v>
      </c>
      <c r="G212" s="673">
        <f t="shared" si="17"/>
        <v>3178067.247083331</v>
      </c>
      <c r="H212" s="721">
        <f>+J184*G212+E212</f>
        <v>635947.60859502642</v>
      </c>
      <c r="I212" s="727">
        <f>+J185*G212+E212</f>
        <v>635947.60859502642</v>
      </c>
      <c r="J212" s="724">
        <f t="shared" si="18"/>
        <v>0</v>
      </c>
      <c r="K212" s="724"/>
      <c r="L212" s="728"/>
      <c r="M212" s="724">
        <f t="shared" si="19"/>
        <v>0</v>
      </c>
      <c r="N212" s="728"/>
      <c r="O212" s="724">
        <f t="shared" si="20"/>
        <v>0</v>
      </c>
      <c r="P212" s="724">
        <f t="shared" si="21"/>
        <v>0</v>
      </c>
      <c r="Q212" s="674"/>
    </row>
    <row r="213" spans="2:17">
      <c r="B213" s="330"/>
      <c r="C213" s="720">
        <f>IF(D183="","-",+C212+1)</f>
        <v>2036</v>
      </c>
      <c r="D213" s="673">
        <f t="shared" si="22"/>
        <v>3103871.1245833309</v>
      </c>
      <c r="E213" s="726">
        <f t="shared" si="23"/>
        <v>148392.245</v>
      </c>
      <c r="F213" s="726">
        <f t="shared" si="16"/>
        <v>2955478.8795833308</v>
      </c>
      <c r="G213" s="673">
        <f t="shared" si="17"/>
        <v>3029675.0020833309</v>
      </c>
      <c r="H213" s="721">
        <f>+J184*G213+E213</f>
        <v>613182.37761004467</v>
      </c>
      <c r="I213" s="727">
        <f>+J185*G213+E213</f>
        <v>613182.37761004467</v>
      </c>
      <c r="J213" s="724">
        <f t="shared" si="18"/>
        <v>0</v>
      </c>
      <c r="K213" s="724"/>
      <c r="L213" s="728"/>
      <c r="M213" s="724">
        <f t="shared" si="19"/>
        <v>0</v>
      </c>
      <c r="N213" s="728"/>
      <c r="O213" s="724">
        <f t="shared" si="20"/>
        <v>0</v>
      </c>
      <c r="P213" s="724">
        <f t="shared" si="21"/>
        <v>0</v>
      </c>
      <c r="Q213" s="674"/>
    </row>
    <row r="214" spans="2:17">
      <c r="B214" s="330"/>
      <c r="C214" s="720">
        <f>IF(D183="","-",+C213+1)</f>
        <v>2037</v>
      </c>
      <c r="D214" s="673">
        <f t="shared" si="22"/>
        <v>2955478.8795833308</v>
      </c>
      <c r="E214" s="726">
        <f t="shared" si="23"/>
        <v>148392.245</v>
      </c>
      <c r="F214" s="726">
        <f t="shared" si="16"/>
        <v>2807086.6345833307</v>
      </c>
      <c r="G214" s="673">
        <f t="shared" si="17"/>
        <v>2881282.7570833308</v>
      </c>
      <c r="H214" s="721">
        <f>+J184*G214+E214</f>
        <v>590417.14662506292</v>
      </c>
      <c r="I214" s="727">
        <f>+J185*G214+E214</f>
        <v>590417.14662506292</v>
      </c>
      <c r="J214" s="724">
        <f t="shared" si="18"/>
        <v>0</v>
      </c>
      <c r="K214" s="724"/>
      <c r="L214" s="728"/>
      <c r="M214" s="724">
        <f t="shared" si="19"/>
        <v>0</v>
      </c>
      <c r="N214" s="728"/>
      <c r="O214" s="724">
        <f t="shared" si="20"/>
        <v>0</v>
      </c>
      <c r="P214" s="724">
        <f t="shared" si="21"/>
        <v>0</v>
      </c>
      <c r="Q214" s="674"/>
    </row>
    <row r="215" spans="2:17">
      <c r="B215" s="330"/>
      <c r="C215" s="720">
        <f>IF(D183="","-",+C214+1)</f>
        <v>2038</v>
      </c>
      <c r="D215" s="673">
        <f t="shared" si="22"/>
        <v>2807086.6345833307</v>
      </c>
      <c r="E215" s="726">
        <f t="shared" si="23"/>
        <v>148392.245</v>
      </c>
      <c r="F215" s="726">
        <f t="shared" si="16"/>
        <v>2658694.3895833306</v>
      </c>
      <c r="G215" s="673">
        <f t="shared" si="17"/>
        <v>2732890.5120833307</v>
      </c>
      <c r="H215" s="721">
        <f>+J184*G215+E215</f>
        <v>567651.91564008105</v>
      </c>
      <c r="I215" s="727">
        <f>+J185*G215+E215</f>
        <v>567651.91564008105</v>
      </c>
      <c r="J215" s="724">
        <f t="shared" si="18"/>
        <v>0</v>
      </c>
      <c r="K215" s="724"/>
      <c r="L215" s="728"/>
      <c r="M215" s="724">
        <f t="shared" si="19"/>
        <v>0</v>
      </c>
      <c r="N215" s="728"/>
      <c r="O215" s="724">
        <f t="shared" si="20"/>
        <v>0</v>
      </c>
      <c r="P215" s="724">
        <f t="shared" si="21"/>
        <v>0</v>
      </c>
      <c r="Q215" s="674"/>
    </row>
    <row r="216" spans="2:17">
      <c r="B216" s="330"/>
      <c r="C216" s="720">
        <f>IF(D183="","-",+C215+1)</f>
        <v>2039</v>
      </c>
      <c r="D216" s="673">
        <f t="shared" si="22"/>
        <v>2658694.3895833306</v>
      </c>
      <c r="E216" s="726">
        <f t="shared" si="23"/>
        <v>148392.245</v>
      </c>
      <c r="F216" s="726">
        <f t="shared" si="16"/>
        <v>2510302.1445833305</v>
      </c>
      <c r="G216" s="673">
        <f t="shared" si="17"/>
        <v>2584498.2670833305</v>
      </c>
      <c r="H216" s="721">
        <f>+J184*G216+E216</f>
        <v>544886.68465509918</v>
      </c>
      <c r="I216" s="727">
        <f>+J185*G216+E216</f>
        <v>544886.68465509918</v>
      </c>
      <c r="J216" s="724">
        <f t="shared" si="18"/>
        <v>0</v>
      </c>
      <c r="K216" s="724"/>
      <c r="L216" s="728"/>
      <c r="M216" s="724">
        <f t="shared" si="19"/>
        <v>0</v>
      </c>
      <c r="N216" s="728"/>
      <c r="O216" s="724">
        <f t="shared" si="20"/>
        <v>0</v>
      </c>
      <c r="P216" s="724">
        <f t="shared" si="21"/>
        <v>0</v>
      </c>
      <c r="Q216" s="674"/>
    </row>
    <row r="217" spans="2:17">
      <c r="B217" s="330"/>
      <c r="C217" s="720">
        <f>IF(D183="","-",+C216+1)</f>
        <v>2040</v>
      </c>
      <c r="D217" s="673">
        <f t="shared" si="22"/>
        <v>2510302.1445833305</v>
      </c>
      <c r="E217" s="726">
        <f t="shared" si="23"/>
        <v>148392.245</v>
      </c>
      <c r="F217" s="726">
        <f t="shared" si="16"/>
        <v>2361909.8995833304</v>
      </c>
      <c r="G217" s="673">
        <f t="shared" si="17"/>
        <v>2436106.0220833304</v>
      </c>
      <c r="H217" s="721">
        <f>+J184*G217+E217</f>
        <v>522121.45367011742</v>
      </c>
      <c r="I217" s="727">
        <f>+J185*G217+E217</f>
        <v>522121.45367011742</v>
      </c>
      <c r="J217" s="724">
        <f t="shared" si="18"/>
        <v>0</v>
      </c>
      <c r="K217" s="724"/>
      <c r="L217" s="728"/>
      <c r="M217" s="724">
        <f t="shared" si="19"/>
        <v>0</v>
      </c>
      <c r="N217" s="728"/>
      <c r="O217" s="724">
        <f t="shared" si="20"/>
        <v>0</v>
      </c>
      <c r="P217" s="724">
        <f t="shared" si="21"/>
        <v>0</v>
      </c>
      <c r="Q217" s="674"/>
    </row>
    <row r="218" spans="2:17">
      <c r="B218" s="330"/>
      <c r="C218" s="720">
        <f>IF(D183="","-",+C217+1)</f>
        <v>2041</v>
      </c>
      <c r="D218" s="673">
        <f t="shared" si="22"/>
        <v>2361909.8995833304</v>
      </c>
      <c r="E218" s="726">
        <f t="shared" si="23"/>
        <v>148392.245</v>
      </c>
      <c r="F218" s="726">
        <f t="shared" si="16"/>
        <v>2213517.6545833303</v>
      </c>
      <c r="G218" s="673">
        <f t="shared" si="17"/>
        <v>2287713.7770833303</v>
      </c>
      <c r="H218" s="721">
        <f>+J184*G218+E218</f>
        <v>499356.22268513561</v>
      </c>
      <c r="I218" s="727">
        <f>+J185*G218+E218</f>
        <v>499356.22268513561</v>
      </c>
      <c r="J218" s="724">
        <f t="shared" si="18"/>
        <v>0</v>
      </c>
      <c r="K218" s="724"/>
      <c r="L218" s="728"/>
      <c r="M218" s="724">
        <f t="shared" si="19"/>
        <v>0</v>
      </c>
      <c r="N218" s="728"/>
      <c r="O218" s="724">
        <f t="shared" si="20"/>
        <v>0</v>
      </c>
      <c r="P218" s="724">
        <f t="shared" si="21"/>
        <v>0</v>
      </c>
      <c r="Q218" s="674"/>
    </row>
    <row r="219" spans="2:17">
      <c r="B219" s="330"/>
      <c r="C219" s="720">
        <f>IF(D183="","-",+C218+1)</f>
        <v>2042</v>
      </c>
      <c r="D219" s="673">
        <f t="shared" si="22"/>
        <v>2213517.6545833303</v>
      </c>
      <c r="E219" s="726">
        <f t="shared" si="23"/>
        <v>148392.245</v>
      </c>
      <c r="F219" s="726">
        <f t="shared" si="16"/>
        <v>2065125.4095833302</v>
      </c>
      <c r="G219" s="673">
        <f t="shared" si="17"/>
        <v>2139321.5320833302</v>
      </c>
      <c r="H219" s="721">
        <f>+J184*G219+E219</f>
        <v>476590.9917001538</v>
      </c>
      <c r="I219" s="727">
        <f>+J185*G219+E219</f>
        <v>476590.9917001538</v>
      </c>
      <c r="J219" s="724">
        <f t="shared" si="18"/>
        <v>0</v>
      </c>
      <c r="K219" s="724"/>
      <c r="L219" s="728"/>
      <c r="M219" s="724">
        <f t="shared" si="19"/>
        <v>0</v>
      </c>
      <c r="N219" s="728"/>
      <c r="O219" s="724">
        <f t="shared" si="20"/>
        <v>0</v>
      </c>
      <c r="P219" s="724">
        <f t="shared" si="21"/>
        <v>0</v>
      </c>
      <c r="Q219" s="674"/>
    </row>
    <row r="220" spans="2:17">
      <c r="B220" s="330"/>
      <c r="C220" s="720">
        <f>IF(D183="","-",+C219+1)</f>
        <v>2043</v>
      </c>
      <c r="D220" s="673">
        <f t="shared" si="22"/>
        <v>2065125.4095833302</v>
      </c>
      <c r="E220" s="726">
        <f t="shared" si="23"/>
        <v>148392.245</v>
      </c>
      <c r="F220" s="726">
        <f t="shared" si="16"/>
        <v>1916733.16458333</v>
      </c>
      <c r="G220" s="673">
        <f t="shared" si="17"/>
        <v>1990929.2870833301</v>
      </c>
      <c r="H220" s="721">
        <f>+J184*G220+E220</f>
        <v>453825.76071517193</v>
      </c>
      <c r="I220" s="727">
        <f>+J185*G220+E220</f>
        <v>453825.76071517193</v>
      </c>
      <c r="J220" s="724">
        <f t="shared" si="18"/>
        <v>0</v>
      </c>
      <c r="K220" s="724"/>
      <c r="L220" s="728"/>
      <c r="M220" s="724">
        <f t="shared" si="19"/>
        <v>0</v>
      </c>
      <c r="N220" s="728"/>
      <c r="O220" s="724">
        <f t="shared" si="20"/>
        <v>0</v>
      </c>
      <c r="P220" s="724">
        <f t="shared" si="21"/>
        <v>0</v>
      </c>
      <c r="Q220" s="674"/>
    </row>
    <row r="221" spans="2:17">
      <c r="B221" s="330"/>
      <c r="C221" s="720">
        <f>IF(D183="","-",+C220+1)</f>
        <v>2044</v>
      </c>
      <c r="D221" s="673">
        <f t="shared" si="22"/>
        <v>1916733.16458333</v>
      </c>
      <c r="E221" s="726">
        <f t="shared" si="23"/>
        <v>148392.245</v>
      </c>
      <c r="F221" s="726">
        <f t="shared" si="16"/>
        <v>1768340.9195833299</v>
      </c>
      <c r="G221" s="673">
        <f t="shared" si="17"/>
        <v>1842537.04208333</v>
      </c>
      <c r="H221" s="721">
        <f>+J184*G221+E221</f>
        <v>431060.52973019012</v>
      </c>
      <c r="I221" s="727">
        <f>+J185*G221+E221</f>
        <v>431060.52973019012</v>
      </c>
      <c r="J221" s="724">
        <f t="shared" si="18"/>
        <v>0</v>
      </c>
      <c r="K221" s="724"/>
      <c r="L221" s="728"/>
      <c r="M221" s="724">
        <f t="shared" si="19"/>
        <v>0</v>
      </c>
      <c r="N221" s="728"/>
      <c r="O221" s="724">
        <f t="shared" si="20"/>
        <v>0</v>
      </c>
      <c r="P221" s="724">
        <f t="shared" si="21"/>
        <v>0</v>
      </c>
      <c r="Q221" s="674"/>
    </row>
    <row r="222" spans="2:17">
      <c r="B222" s="330"/>
      <c r="C222" s="720">
        <f>IF(D183="","-",+C221+1)</f>
        <v>2045</v>
      </c>
      <c r="D222" s="673">
        <f t="shared" si="22"/>
        <v>1768340.9195833299</v>
      </c>
      <c r="E222" s="726">
        <f t="shared" si="23"/>
        <v>148392.245</v>
      </c>
      <c r="F222" s="726">
        <f t="shared" si="16"/>
        <v>1619948.6745833298</v>
      </c>
      <c r="G222" s="673">
        <f t="shared" si="17"/>
        <v>1694144.7970833299</v>
      </c>
      <c r="H222" s="721">
        <f>+J184*G222+E222</f>
        <v>408295.2987452083</v>
      </c>
      <c r="I222" s="727">
        <f>+J185*G222+E222</f>
        <v>408295.2987452083</v>
      </c>
      <c r="J222" s="724">
        <f t="shared" si="18"/>
        <v>0</v>
      </c>
      <c r="K222" s="724"/>
      <c r="L222" s="728"/>
      <c r="M222" s="724">
        <f t="shared" si="19"/>
        <v>0</v>
      </c>
      <c r="N222" s="728"/>
      <c r="O222" s="724">
        <f t="shared" si="20"/>
        <v>0</v>
      </c>
      <c r="P222" s="724">
        <f t="shared" si="21"/>
        <v>0</v>
      </c>
      <c r="Q222" s="674"/>
    </row>
    <row r="223" spans="2:17">
      <c r="B223" s="330"/>
      <c r="C223" s="720">
        <f>IF(D183="","-",+C222+1)</f>
        <v>2046</v>
      </c>
      <c r="D223" s="673">
        <f t="shared" si="22"/>
        <v>1619948.6745833298</v>
      </c>
      <c r="E223" s="726">
        <f t="shared" si="23"/>
        <v>148392.245</v>
      </c>
      <c r="F223" s="726">
        <f t="shared" si="16"/>
        <v>1471556.4295833297</v>
      </c>
      <c r="G223" s="673">
        <f t="shared" si="17"/>
        <v>1545752.5520833298</v>
      </c>
      <c r="H223" s="721">
        <f>+J184*G223+E223</f>
        <v>385530.06776022655</v>
      </c>
      <c r="I223" s="727">
        <f>+J185*G223+E223</f>
        <v>385530.06776022655</v>
      </c>
      <c r="J223" s="724">
        <f t="shared" si="18"/>
        <v>0</v>
      </c>
      <c r="K223" s="724"/>
      <c r="L223" s="728"/>
      <c r="M223" s="724">
        <f t="shared" si="19"/>
        <v>0</v>
      </c>
      <c r="N223" s="728"/>
      <c r="O223" s="724">
        <f t="shared" si="20"/>
        <v>0</v>
      </c>
      <c r="P223" s="724">
        <f t="shared" si="21"/>
        <v>0</v>
      </c>
      <c r="Q223" s="674"/>
    </row>
    <row r="224" spans="2:17">
      <c r="B224" s="330"/>
      <c r="C224" s="720">
        <f>IF(D183="","-",+C223+1)</f>
        <v>2047</v>
      </c>
      <c r="D224" s="673">
        <f t="shared" si="22"/>
        <v>1471556.4295833297</v>
      </c>
      <c r="E224" s="726">
        <f t="shared" si="23"/>
        <v>148392.245</v>
      </c>
      <c r="F224" s="726">
        <f t="shared" si="16"/>
        <v>1323164.1845833296</v>
      </c>
      <c r="G224" s="673">
        <f t="shared" si="17"/>
        <v>1397360.3070833297</v>
      </c>
      <c r="H224" s="721">
        <f>+J184*G224+E224</f>
        <v>362764.83677524468</v>
      </c>
      <c r="I224" s="727">
        <f>+J185*G224+E224</f>
        <v>362764.83677524468</v>
      </c>
      <c r="J224" s="724">
        <f t="shared" si="18"/>
        <v>0</v>
      </c>
      <c r="K224" s="724"/>
      <c r="L224" s="728"/>
      <c r="M224" s="724">
        <f t="shared" si="19"/>
        <v>0</v>
      </c>
      <c r="N224" s="728"/>
      <c r="O224" s="724">
        <f t="shared" si="20"/>
        <v>0</v>
      </c>
      <c r="P224" s="724">
        <f t="shared" si="21"/>
        <v>0</v>
      </c>
      <c r="Q224" s="674"/>
    </row>
    <row r="225" spans="2:17">
      <c r="B225" s="330"/>
      <c r="C225" s="720">
        <f>IF(D183="","-",+C224+1)</f>
        <v>2048</v>
      </c>
      <c r="D225" s="673">
        <f t="shared" si="22"/>
        <v>1323164.1845833296</v>
      </c>
      <c r="E225" s="726">
        <f t="shared" si="23"/>
        <v>148392.245</v>
      </c>
      <c r="F225" s="726">
        <f t="shared" si="16"/>
        <v>1174771.9395833295</v>
      </c>
      <c r="G225" s="673">
        <f t="shared" si="17"/>
        <v>1248968.0620833295</v>
      </c>
      <c r="H225" s="721">
        <f>+J184*G225+E225</f>
        <v>339999.60579026287</v>
      </c>
      <c r="I225" s="727">
        <f>+J185*G225+E225</f>
        <v>339999.60579026287</v>
      </c>
      <c r="J225" s="724">
        <f t="shared" si="18"/>
        <v>0</v>
      </c>
      <c r="K225" s="724"/>
      <c r="L225" s="728"/>
      <c r="M225" s="724">
        <f t="shared" si="19"/>
        <v>0</v>
      </c>
      <c r="N225" s="728"/>
      <c r="O225" s="724">
        <f t="shared" si="20"/>
        <v>0</v>
      </c>
      <c r="P225" s="724">
        <f t="shared" si="21"/>
        <v>0</v>
      </c>
      <c r="Q225" s="674"/>
    </row>
    <row r="226" spans="2:17">
      <c r="B226" s="330"/>
      <c r="C226" s="720">
        <f>IF(D183="","-",+C225+1)</f>
        <v>2049</v>
      </c>
      <c r="D226" s="673">
        <f t="shared" si="22"/>
        <v>1174771.9395833295</v>
      </c>
      <c r="E226" s="726">
        <f t="shared" si="23"/>
        <v>148392.245</v>
      </c>
      <c r="F226" s="726">
        <f t="shared" si="16"/>
        <v>1026379.6945833295</v>
      </c>
      <c r="G226" s="673">
        <f t="shared" si="17"/>
        <v>1100575.8170833294</v>
      </c>
      <c r="H226" s="721">
        <f>+J184*G226+E226</f>
        <v>317234.37480528106</v>
      </c>
      <c r="I226" s="727">
        <f>+J185*G226+E226</f>
        <v>317234.37480528106</v>
      </c>
      <c r="J226" s="724">
        <f t="shared" si="18"/>
        <v>0</v>
      </c>
      <c r="K226" s="724"/>
      <c r="L226" s="728"/>
      <c r="M226" s="724">
        <f t="shared" si="19"/>
        <v>0</v>
      </c>
      <c r="N226" s="728"/>
      <c r="O226" s="724">
        <f t="shared" si="20"/>
        <v>0</v>
      </c>
      <c r="P226" s="724">
        <f t="shared" si="21"/>
        <v>0</v>
      </c>
      <c r="Q226" s="674"/>
    </row>
    <row r="227" spans="2:17">
      <c r="B227" s="330"/>
      <c r="C227" s="720">
        <f>IF(D183="","-",+C226+1)</f>
        <v>2050</v>
      </c>
      <c r="D227" s="673">
        <f t="shared" si="22"/>
        <v>1026379.6945833295</v>
      </c>
      <c r="E227" s="726">
        <f t="shared" si="23"/>
        <v>148392.245</v>
      </c>
      <c r="F227" s="726">
        <f t="shared" si="16"/>
        <v>877987.44958332949</v>
      </c>
      <c r="G227" s="673">
        <f t="shared" si="17"/>
        <v>952183.57208332955</v>
      </c>
      <c r="H227" s="721">
        <f>+J184*G227+E227</f>
        <v>294469.1438202993</v>
      </c>
      <c r="I227" s="727">
        <f>+J185*G227+E227</f>
        <v>294469.1438202993</v>
      </c>
      <c r="J227" s="724">
        <f t="shared" si="18"/>
        <v>0</v>
      </c>
      <c r="K227" s="724"/>
      <c r="L227" s="728"/>
      <c r="M227" s="724">
        <f t="shared" si="19"/>
        <v>0</v>
      </c>
      <c r="N227" s="728"/>
      <c r="O227" s="724">
        <f t="shared" si="20"/>
        <v>0</v>
      </c>
      <c r="P227" s="724">
        <f t="shared" si="21"/>
        <v>0</v>
      </c>
      <c r="Q227" s="674"/>
    </row>
    <row r="228" spans="2:17">
      <c r="B228" s="330"/>
      <c r="C228" s="720">
        <f>IF(D183="","-",+C227+1)</f>
        <v>2051</v>
      </c>
      <c r="D228" s="673">
        <f t="shared" si="22"/>
        <v>877987.44958332949</v>
      </c>
      <c r="E228" s="726">
        <f t="shared" si="23"/>
        <v>148392.245</v>
      </c>
      <c r="F228" s="726">
        <f t="shared" si="16"/>
        <v>729595.2045833295</v>
      </c>
      <c r="G228" s="673">
        <f t="shared" si="17"/>
        <v>803791.32708332944</v>
      </c>
      <c r="H228" s="721">
        <f>+J184*G228+E228</f>
        <v>271703.91283531749</v>
      </c>
      <c r="I228" s="727">
        <f>+J185*G228+E228</f>
        <v>271703.91283531749</v>
      </c>
      <c r="J228" s="724">
        <f t="shared" si="18"/>
        <v>0</v>
      </c>
      <c r="K228" s="724"/>
      <c r="L228" s="728"/>
      <c r="M228" s="724">
        <f t="shared" si="19"/>
        <v>0</v>
      </c>
      <c r="N228" s="728"/>
      <c r="O228" s="724">
        <f t="shared" si="20"/>
        <v>0</v>
      </c>
      <c r="P228" s="724">
        <f t="shared" si="21"/>
        <v>0</v>
      </c>
      <c r="Q228" s="674"/>
    </row>
    <row r="229" spans="2:17">
      <c r="B229" s="330"/>
      <c r="C229" s="720">
        <f>IF(D183="","-",+C228+1)</f>
        <v>2052</v>
      </c>
      <c r="D229" s="673">
        <f t="shared" si="22"/>
        <v>729595.2045833295</v>
      </c>
      <c r="E229" s="726">
        <f t="shared" si="23"/>
        <v>148392.245</v>
      </c>
      <c r="F229" s="726">
        <f t="shared" si="16"/>
        <v>581202.9595833295</v>
      </c>
      <c r="G229" s="673">
        <f t="shared" si="17"/>
        <v>655399.08208332956</v>
      </c>
      <c r="H229" s="721">
        <f>+J184*G229+E229</f>
        <v>248938.68185033568</v>
      </c>
      <c r="I229" s="727">
        <f>+J185*G229+E229</f>
        <v>248938.68185033568</v>
      </c>
      <c r="J229" s="724">
        <f t="shared" si="18"/>
        <v>0</v>
      </c>
      <c r="K229" s="724"/>
      <c r="L229" s="728"/>
      <c r="M229" s="724">
        <f t="shared" si="19"/>
        <v>0</v>
      </c>
      <c r="N229" s="728"/>
      <c r="O229" s="724">
        <f t="shared" si="20"/>
        <v>0</v>
      </c>
      <c r="P229" s="724">
        <f t="shared" si="21"/>
        <v>0</v>
      </c>
      <c r="Q229" s="674"/>
    </row>
    <row r="230" spans="2:17">
      <c r="B230" s="330"/>
      <c r="C230" s="720">
        <f>IF(D183="","-",+C229+1)</f>
        <v>2053</v>
      </c>
      <c r="D230" s="673">
        <f t="shared" si="22"/>
        <v>581202.9595833295</v>
      </c>
      <c r="E230" s="726">
        <f t="shared" si="23"/>
        <v>148392.245</v>
      </c>
      <c r="F230" s="726">
        <f t="shared" si="16"/>
        <v>432810.71458332951</v>
      </c>
      <c r="G230" s="673">
        <f t="shared" si="17"/>
        <v>507006.8370833295</v>
      </c>
      <c r="H230" s="721">
        <f>+J184*G230+E230</f>
        <v>226173.45086535387</v>
      </c>
      <c r="I230" s="727">
        <f>+J185*G230+E230</f>
        <v>226173.45086535387</v>
      </c>
      <c r="J230" s="724">
        <f t="shared" si="18"/>
        <v>0</v>
      </c>
      <c r="K230" s="724"/>
      <c r="L230" s="728"/>
      <c r="M230" s="724">
        <f t="shared" si="19"/>
        <v>0</v>
      </c>
      <c r="N230" s="728"/>
      <c r="O230" s="724">
        <f t="shared" si="20"/>
        <v>0</v>
      </c>
      <c r="P230" s="724">
        <f t="shared" si="21"/>
        <v>0</v>
      </c>
      <c r="Q230" s="674"/>
    </row>
    <row r="231" spans="2:17">
      <c r="B231" s="330"/>
      <c r="C231" s="720">
        <f>IF(D183="","-",+C230+1)</f>
        <v>2054</v>
      </c>
      <c r="D231" s="673">
        <f t="shared" si="22"/>
        <v>432810.71458332951</v>
      </c>
      <c r="E231" s="726">
        <f t="shared" si="23"/>
        <v>148392.245</v>
      </c>
      <c r="F231" s="726">
        <f t="shared" si="16"/>
        <v>284418.46958332951</v>
      </c>
      <c r="G231" s="673">
        <f t="shared" si="17"/>
        <v>358614.59208332951</v>
      </c>
      <c r="H231" s="721">
        <f>+J184*G231+E231</f>
        <v>203408.21988037208</v>
      </c>
      <c r="I231" s="727">
        <f>+J185*G231+E231</f>
        <v>203408.21988037208</v>
      </c>
      <c r="J231" s="724">
        <f t="shared" si="18"/>
        <v>0</v>
      </c>
      <c r="K231" s="724"/>
      <c r="L231" s="728"/>
      <c r="M231" s="724">
        <f t="shared" si="19"/>
        <v>0</v>
      </c>
      <c r="N231" s="728"/>
      <c r="O231" s="724">
        <f t="shared" si="20"/>
        <v>0</v>
      </c>
      <c r="P231" s="724">
        <f t="shared" si="21"/>
        <v>0</v>
      </c>
      <c r="Q231" s="674"/>
    </row>
    <row r="232" spans="2:17">
      <c r="B232" s="330"/>
      <c r="C232" s="720">
        <f>IF(D183="","-",+C231+1)</f>
        <v>2055</v>
      </c>
      <c r="D232" s="673">
        <f t="shared" si="22"/>
        <v>284418.46958332951</v>
      </c>
      <c r="E232" s="726">
        <f t="shared" si="23"/>
        <v>148392.245</v>
      </c>
      <c r="F232" s="726">
        <f t="shared" si="16"/>
        <v>136026.22458332952</v>
      </c>
      <c r="G232" s="673">
        <f t="shared" si="17"/>
        <v>210222.34708332951</v>
      </c>
      <c r="H232" s="721">
        <f>+J184*G232+E232</f>
        <v>180642.9888953903</v>
      </c>
      <c r="I232" s="727">
        <f>+J185*G232+E232</f>
        <v>180642.9888953903</v>
      </c>
      <c r="J232" s="724">
        <f t="shared" si="18"/>
        <v>0</v>
      </c>
      <c r="K232" s="724"/>
      <c r="L232" s="728"/>
      <c r="M232" s="724">
        <f t="shared" si="19"/>
        <v>0</v>
      </c>
      <c r="N232" s="728"/>
      <c r="O232" s="724">
        <f t="shared" si="20"/>
        <v>0</v>
      </c>
      <c r="P232" s="724">
        <f t="shared" si="21"/>
        <v>0</v>
      </c>
      <c r="Q232" s="674"/>
    </row>
    <row r="233" spans="2:17">
      <c r="B233" s="330"/>
      <c r="C233" s="720">
        <f>IF(D183="","-",+C232+1)</f>
        <v>2056</v>
      </c>
      <c r="D233" s="673">
        <f t="shared" si="22"/>
        <v>136026.22458332952</v>
      </c>
      <c r="E233" s="726">
        <f t="shared" si="23"/>
        <v>136026.22458332952</v>
      </c>
      <c r="F233" s="726">
        <f t="shared" si="16"/>
        <v>0</v>
      </c>
      <c r="G233" s="673">
        <f t="shared" si="17"/>
        <v>68013.112291664758</v>
      </c>
      <c r="H233" s="721">
        <f>+J184*G233+E233</f>
        <v>146460.2887847792</v>
      </c>
      <c r="I233" s="727">
        <f>+J185*G233+E233</f>
        <v>146460.2887847792</v>
      </c>
      <c r="J233" s="724">
        <f t="shared" si="18"/>
        <v>0</v>
      </c>
      <c r="K233" s="724"/>
      <c r="L233" s="728"/>
      <c r="M233" s="724">
        <f t="shared" si="19"/>
        <v>0</v>
      </c>
      <c r="N233" s="728"/>
      <c r="O233" s="724">
        <f t="shared" si="20"/>
        <v>0</v>
      </c>
      <c r="P233" s="724">
        <f t="shared" si="21"/>
        <v>0</v>
      </c>
      <c r="Q233" s="674"/>
    </row>
    <row r="234" spans="2:17">
      <c r="B234" s="330"/>
      <c r="C234" s="720">
        <f>IF(D183="","-",+C233+1)</f>
        <v>2057</v>
      </c>
      <c r="D234" s="673">
        <f t="shared" si="22"/>
        <v>0</v>
      </c>
      <c r="E234" s="726">
        <f t="shared" si="23"/>
        <v>0</v>
      </c>
      <c r="F234" s="726">
        <f t="shared" si="16"/>
        <v>0</v>
      </c>
      <c r="G234" s="673">
        <f t="shared" si="17"/>
        <v>0</v>
      </c>
      <c r="H234" s="721">
        <f>+J184*G234+E234</f>
        <v>0</v>
      </c>
      <c r="I234" s="727">
        <f>+J185*G234+E234</f>
        <v>0</v>
      </c>
      <c r="J234" s="724">
        <f t="shared" si="18"/>
        <v>0</v>
      </c>
      <c r="K234" s="724"/>
      <c r="L234" s="728"/>
      <c r="M234" s="724">
        <f t="shared" si="19"/>
        <v>0</v>
      </c>
      <c r="N234" s="728"/>
      <c r="O234" s="724">
        <f t="shared" si="20"/>
        <v>0</v>
      </c>
      <c r="P234" s="724">
        <f t="shared" si="21"/>
        <v>0</v>
      </c>
      <c r="Q234" s="674"/>
    </row>
    <row r="235" spans="2:17">
      <c r="B235" s="330"/>
      <c r="C235" s="720">
        <f>IF(D183="","-",+C234+1)</f>
        <v>2058</v>
      </c>
      <c r="D235" s="673">
        <f t="shared" si="22"/>
        <v>0</v>
      </c>
      <c r="E235" s="726">
        <f t="shared" si="23"/>
        <v>0</v>
      </c>
      <c r="F235" s="726">
        <f t="shared" si="16"/>
        <v>0</v>
      </c>
      <c r="G235" s="673">
        <f t="shared" si="17"/>
        <v>0</v>
      </c>
      <c r="H235" s="721">
        <f>+J184*G235+E235</f>
        <v>0</v>
      </c>
      <c r="I235" s="727">
        <f>+J185*G235+E235</f>
        <v>0</v>
      </c>
      <c r="J235" s="724">
        <f t="shared" si="18"/>
        <v>0</v>
      </c>
      <c r="K235" s="724"/>
      <c r="L235" s="728"/>
      <c r="M235" s="724">
        <f t="shared" si="19"/>
        <v>0</v>
      </c>
      <c r="N235" s="728"/>
      <c r="O235" s="724">
        <f t="shared" si="20"/>
        <v>0</v>
      </c>
      <c r="P235" s="724">
        <f t="shared" si="21"/>
        <v>0</v>
      </c>
      <c r="Q235" s="674"/>
    </row>
    <row r="236" spans="2:17">
      <c r="B236" s="330"/>
      <c r="C236" s="720">
        <f>IF(D183="","-",+C235+1)</f>
        <v>2059</v>
      </c>
      <c r="D236" s="673">
        <f t="shared" si="22"/>
        <v>0</v>
      </c>
      <c r="E236" s="726">
        <f t="shared" si="23"/>
        <v>0</v>
      </c>
      <c r="F236" s="726">
        <f t="shared" si="16"/>
        <v>0</v>
      </c>
      <c r="G236" s="673">
        <f t="shared" si="17"/>
        <v>0</v>
      </c>
      <c r="H236" s="721">
        <f>+J184*G236+E236</f>
        <v>0</v>
      </c>
      <c r="I236" s="727">
        <f>+J185*G236+E236</f>
        <v>0</v>
      </c>
      <c r="J236" s="724">
        <f t="shared" si="18"/>
        <v>0</v>
      </c>
      <c r="K236" s="724"/>
      <c r="L236" s="728"/>
      <c r="M236" s="724">
        <f t="shared" si="19"/>
        <v>0</v>
      </c>
      <c r="N236" s="728"/>
      <c r="O236" s="724">
        <f t="shared" si="20"/>
        <v>0</v>
      </c>
      <c r="P236" s="724">
        <f t="shared" si="21"/>
        <v>0</v>
      </c>
      <c r="Q236" s="674"/>
    </row>
    <row r="237" spans="2:17">
      <c r="B237" s="330"/>
      <c r="C237" s="720">
        <f>IF(D183="","-",+C236+1)</f>
        <v>2060</v>
      </c>
      <c r="D237" s="673">
        <f t="shared" si="22"/>
        <v>0</v>
      </c>
      <c r="E237" s="726">
        <f t="shared" si="23"/>
        <v>0</v>
      </c>
      <c r="F237" s="726">
        <f t="shared" si="16"/>
        <v>0</v>
      </c>
      <c r="G237" s="673">
        <f t="shared" si="17"/>
        <v>0</v>
      </c>
      <c r="H237" s="721">
        <f>+J184*G237+E237</f>
        <v>0</v>
      </c>
      <c r="I237" s="727">
        <f>+J185*G237+E237</f>
        <v>0</v>
      </c>
      <c r="J237" s="724">
        <f t="shared" si="18"/>
        <v>0</v>
      </c>
      <c r="K237" s="724"/>
      <c r="L237" s="728"/>
      <c r="M237" s="724">
        <f t="shared" si="19"/>
        <v>0</v>
      </c>
      <c r="N237" s="728"/>
      <c r="O237" s="724">
        <f t="shared" si="20"/>
        <v>0</v>
      </c>
      <c r="P237" s="724">
        <f t="shared" si="21"/>
        <v>0</v>
      </c>
      <c r="Q237" s="674"/>
    </row>
    <row r="238" spans="2:17">
      <c r="B238" s="330"/>
      <c r="C238" s="720">
        <f>IF(D183="","-",+C237+1)</f>
        <v>2061</v>
      </c>
      <c r="D238" s="673">
        <f t="shared" si="22"/>
        <v>0</v>
      </c>
      <c r="E238" s="726">
        <f t="shared" si="23"/>
        <v>0</v>
      </c>
      <c r="F238" s="726">
        <f t="shared" si="16"/>
        <v>0</v>
      </c>
      <c r="G238" s="673">
        <f t="shared" si="17"/>
        <v>0</v>
      </c>
      <c r="H238" s="721">
        <f>+J184*G238+E238</f>
        <v>0</v>
      </c>
      <c r="I238" s="727">
        <f>+J185*G238+E238</f>
        <v>0</v>
      </c>
      <c r="J238" s="724">
        <f t="shared" si="18"/>
        <v>0</v>
      </c>
      <c r="K238" s="724"/>
      <c r="L238" s="728"/>
      <c r="M238" s="724">
        <f t="shared" si="19"/>
        <v>0</v>
      </c>
      <c r="N238" s="728"/>
      <c r="O238" s="724">
        <f t="shared" si="20"/>
        <v>0</v>
      </c>
      <c r="P238" s="724">
        <f t="shared" si="21"/>
        <v>0</v>
      </c>
      <c r="Q238" s="674"/>
    </row>
    <row r="239" spans="2:17">
      <c r="B239" s="330"/>
      <c r="C239" s="720">
        <f>IF(D183="","-",+C238+1)</f>
        <v>2062</v>
      </c>
      <c r="D239" s="673">
        <f t="shared" si="22"/>
        <v>0</v>
      </c>
      <c r="E239" s="726">
        <f t="shared" si="23"/>
        <v>0</v>
      </c>
      <c r="F239" s="726">
        <f t="shared" si="16"/>
        <v>0</v>
      </c>
      <c r="G239" s="673">
        <f t="shared" si="17"/>
        <v>0</v>
      </c>
      <c r="H239" s="721">
        <f>+J184*G239+E239</f>
        <v>0</v>
      </c>
      <c r="I239" s="727">
        <f>+J185*G239+E239</f>
        <v>0</v>
      </c>
      <c r="J239" s="724">
        <f t="shared" si="18"/>
        <v>0</v>
      </c>
      <c r="K239" s="724"/>
      <c r="L239" s="728"/>
      <c r="M239" s="724">
        <f t="shared" si="19"/>
        <v>0</v>
      </c>
      <c r="N239" s="728"/>
      <c r="O239" s="724">
        <f t="shared" si="20"/>
        <v>0</v>
      </c>
      <c r="P239" s="724">
        <f t="shared" si="21"/>
        <v>0</v>
      </c>
      <c r="Q239" s="674"/>
    </row>
    <row r="240" spans="2:17">
      <c r="B240" s="330"/>
      <c r="C240" s="720">
        <f>IF(D183="","-",+C239+1)</f>
        <v>2063</v>
      </c>
      <c r="D240" s="673">
        <f t="shared" si="22"/>
        <v>0</v>
      </c>
      <c r="E240" s="726">
        <f t="shared" si="23"/>
        <v>0</v>
      </c>
      <c r="F240" s="726">
        <f t="shared" si="16"/>
        <v>0</v>
      </c>
      <c r="G240" s="673">
        <f t="shared" si="17"/>
        <v>0</v>
      </c>
      <c r="H240" s="721">
        <f>+J184*G240+E240</f>
        <v>0</v>
      </c>
      <c r="I240" s="727">
        <f>+J185*G240+E240</f>
        <v>0</v>
      </c>
      <c r="J240" s="724">
        <f t="shared" si="18"/>
        <v>0</v>
      </c>
      <c r="K240" s="724"/>
      <c r="L240" s="728"/>
      <c r="M240" s="724">
        <f t="shared" si="19"/>
        <v>0</v>
      </c>
      <c r="N240" s="728"/>
      <c r="O240" s="724">
        <f t="shared" si="20"/>
        <v>0</v>
      </c>
      <c r="P240" s="724">
        <f t="shared" si="21"/>
        <v>0</v>
      </c>
      <c r="Q240" s="674"/>
    </row>
    <row r="241" spans="1:17">
      <c r="B241" s="330"/>
      <c r="C241" s="720">
        <f>IF(D183="","-",+C240+1)</f>
        <v>2064</v>
      </c>
      <c r="D241" s="673">
        <f t="shared" si="22"/>
        <v>0</v>
      </c>
      <c r="E241" s="726">
        <f t="shared" si="23"/>
        <v>0</v>
      </c>
      <c r="F241" s="726">
        <f t="shared" si="16"/>
        <v>0</v>
      </c>
      <c r="G241" s="673">
        <f t="shared" si="17"/>
        <v>0</v>
      </c>
      <c r="H241" s="721">
        <f>+J184*G241+E241</f>
        <v>0</v>
      </c>
      <c r="I241" s="727">
        <f>+J185*G241+E241</f>
        <v>0</v>
      </c>
      <c r="J241" s="724">
        <f t="shared" si="18"/>
        <v>0</v>
      </c>
      <c r="K241" s="724"/>
      <c r="L241" s="728"/>
      <c r="M241" s="724">
        <f t="shared" si="19"/>
        <v>0</v>
      </c>
      <c r="N241" s="728"/>
      <c r="O241" s="724">
        <f t="shared" si="20"/>
        <v>0</v>
      </c>
      <c r="P241" s="724">
        <f t="shared" si="21"/>
        <v>0</v>
      </c>
      <c r="Q241" s="674"/>
    </row>
    <row r="242" spans="1:17">
      <c r="B242" s="330"/>
      <c r="C242" s="720">
        <f>IF(D183="","-",+C241+1)</f>
        <v>2065</v>
      </c>
      <c r="D242" s="673">
        <f t="shared" si="22"/>
        <v>0</v>
      </c>
      <c r="E242" s="726">
        <f t="shared" si="23"/>
        <v>0</v>
      </c>
      <c r="F242" s="726">
        <f t="shared" si="16"/>
        <v>0</v>
      </c>
      <c r="G242" s="673">
        <f t="shared" si="17"/>
        <v>0</v>
      </c>
      <c r="H242" s="721">
        <f>+J184*G242+E242</f>
        <v>0</v>
      </c>
      <c r="I242" s="727">
        <f>+J185*G242+E242</f>
        <v>0</v>
      </c>
      <c r="J242" s="724">
        <f t="shared" si="18"/>
        <v>0</v>
      </c>
      <c r="K242" s="724"/>
      <c r="L242" s="728"/>
      <c r="M242" s="724">
        <f t="shared" si="19"/>
        <v>0</v>
      </c>
      <c r="N242" s="728"/>
      <c r="O242" s="724">
        <f t="shared" si="20"/>
        <v>0</v>
      </c>
      <c r="P242" s="724">
        <f t="shared" si="21"/>
        <v>0</v>
      </c>
      <c r="Q242" s="674"/>
    </row>
    <row r="243" spans="1:17">
      <c r="B243" s="330"/>
      <c r="C243" s="720">
        <f>IF(D183="","-",+C242+1)</f>
        <v>2066</v>
      </c>
      <c r="D243" s="673">
        <f t="shared" si="22"/>
        <v>0</v>
      </c>
      <c r="E243" s="726">
        <f t="shared" si="23"/>
        <v>0</v>
      </c>
      <c r="F243" s="726">
        <f t="shared" si="16"/>
        <v>0</v>
      </c>
      <c r="G243" s="673">
        <f t="shared" si="17"/>
        <v>0</v>
      </c>
      <c r="H243" s="721">
        <f>+J184*G243+E243</f>
        <v>0</v>
      </c>
      <c r="I243" s="727">
        <f>+J185*G243+E243</f>
        <v>0</v>
      </c>
      <c r="J243" s="724">
        <f t="shared" si="18"/>
        <v>0</v>
      </c>
      <c r="K243" s="724"/>
      <c r="L243" s="728"/>
      <c r="M243" s="724">
        <f t="shared" si="19"/>
        <v>0</v>
      </c>
      <c r="N243" s="728"/>
      <c r="O243" s="724">
        <f t="shared" si="20"/>
        <v>0</v>
      </c>
      <c r="P243" s="724">
        <f t="shared" si="21"/>
        <v>0</v>
      </c>
      <c r="Q243" s="674"/>
    </row>
    <row r="244" spans="1:17">
      <c r="B244" s="330"/>
      <c r="C244" s="720">
        <f>IF(D183="","-",+C243+1)</f>
        <v>2067</v>
      </c>
      <c r="D244" s="673">
        <f t="shared" si="22"/>
        <v>0</v>
      </c>
      <c r="E244" s="726">
        <f t="shared" si="23"/>
        <v>0</v>
      </c>
      <c r="F244" s="726">
        <f t="shared" si="16"/>
        <v>0</v>
      </c>
      <c r="G244" s="673">
        <f t="shared" si="17"/>
        <v>0</v>
      </c>
      <c r="H244" s="721">
        <f>+J184*G244+E244</f>
        <v>0</v>
      </c>
      <c r="I244" s="727">
        <f>+J185*G244+E244</f>
        <v>0</v>
      </c>
      <c r="J244" s="724">
        <f t="shared" si="18"/>
        <v>0</v>
      </c>
      <c r="K244" s="724"/>
      <c r="L244" s="728"/>
      <c r="M244" s="724">
        <f t="shared" si="19"/>
        <v>0</v>
      </c>
      <c r="N244" s="728"/>
      <c r="O244" s="724">
        <f t="shared" si="20"/>
        <v>0</v>
      </c>
      <c r="P244" s="724">
        <f t="shared" si="21"/>
        <v>0</v>
      </c>
      <c r="Q244" s="674"/>
    </row>
    <row r="245" spans="1:17">
      <c r="B245" s="330"/>
      <c r="C245" s="720">
        <f>IF(D183="","-",+C244+1)</f>
        <v>2068</v>
      </c>
      <c r="D245" s="673">
        <f t="shared" si="22"/>
        <v>0</v>
      </c>
      <c r="E245" s="726">
        <f t="shared" si="23"/>
        <v>0</v>
      </c>
      <c r="F245" s="726">
        <f t="shared" si="16"/>
        <v>0</v>
      </c>
      <c r="G245" s="673">
        <f t="shared" si="17"/>
        <v>0</v>
      </c>
      <c r="H245" s="721">
        <f>+J184*G245+E245</f>
        <v>0</v>
      </c>
      <c r="I245" s="727">
        <f>+J185*G245+E245</f>
        <v>0</v>
      </c>
      <c r="J245" s="724">
        <f t="shared" si="18"/>
        <v>0</v>
      </c>
      <c r="K245" s="724"/>
      <c r="L245" s="728"/>
      <c r="M245" s="724">
        <f t="shared" si="19"/>
        <v>0</v>
      </c>
      <c r="N245" s="728"/>
      <c r="O245" s="724">
        <f t="shared" si="20"/>
        <v>0</v>
      </c>
      <c r="P245" s="724">
        <f t="shared" si="21"/>
        <v>0</v>
      </c>
      <c r="Q245" s="674"/>
    </row>
    <row r="246" spans="1:17">
      <c r="B246" s="330"/>
      <c r="C246" s="720">
        <f>IF(D183="","-",+C245+1)</f>
        <v>2069</v>
      </c>
      <c r="D246" s="673">
        <f t="shared" si="22"/>
        <v>0</v>
      </c>
      <c r="E246" s="726">
        <f t="shared" si="23"/>
        <v>0</v>
      </c>
      <c r="F246" s="726">
        <f t="shared" si="16"/>
        <v>0</v>
      </c>
      <c r="G246" s="673">
        <f t="shared" si="17"/>
        <v>0</v>
      </c>
      <c r="H246" s="721">
        <f>+J184*G246+E246</f>
        <v>0</v>
      </c>
      <c r="I246" s="727">
        <f>+J185*G246+E246</f>
        <v>0</v>
      </c>
      <c r="J246" s="724">
        <f t="shared" si="18"/>
        <v>0</v>
      </c>
      <c r="K246" s="724"/>
      <c r="L246" s="728"/>
      <c r="M246" s="724">
        <f t="shared" si="19"/>
        <v>0</v>
      </c>
      <c r="N246" s="728"/>
      <c r="O246" s="724">
        <f t="shared" si="20"/>
        <v>0</v>
      </c>
      <c r="P246" s="724">
        <f t="shared" si="21"/>
        <v>0</v>
      </c>
      <c r="Q246" s="674"/>
    </row>
    <row r="247" spans="1:17">
      <c r="B247" s="330"/>
      <c r="C247" s="720">
        <f>IF(D183="","-",+C246+1)</f>
        <v>2070</v>
      </c>
      <c r="D247" s="673">
        <f t="shared" si="22"/>
        <v>0</v>
      </c>
      <c r="E247" s="726">
        <f t="shared" si="23"/>
        <v>0</v>
      </c>
      <c r="F247" s="726">
        <f t="shared" si="16"/>
        <v>0</v>
      </c>
      <c r="G247" s="673">
        <f t="shared" si="17"/>
        <v>0</v>
      </c>
      <c r="H247" s="721">
        <f>+J184*G247+E247</f>
        <v>0</v>
      </c>
      <c r="I247" s="727">
        <f>+J185*G247+E247</f>
        <v>0</v>
      </c>
      <c r="J247" s="724">
        <f t="shared" si="18"/>
        <v>0</v>
      </c>
      <c r="K247" s="724"/>
      <c r="L247" s="728"/>
      <c r="M247" s="724">
        <f t="shared" si="19"/>
        <v>0</v>
      </c>
      <c r="N247" s="728"/>
      <c r="O247" s="724">
        <f t="shared" si="20"/>
        <v>0</v>
      </c>
      <c r="P247" s="724">
        <f t="shared" si="21"/>
        <v>0</v>
      </c>
      <c r="Q247" s="674"/>
    </row>
    <row r="248" spans="1:17" ht="13.5" thickBot="1">
      <c r="B248" s="330"/>
      <c r="C248" s="730">
        <f>IF(D183="","-",+C247+1)</f>
        <v>2071</v>
      </c>
      <c r="D248" s="731">
        <f t="shared" si="22"/>
        <v>0</v>
      </c>
      <c r="E248" s="1309">
        <f t="shared" si="23"/>
        <v>0</v>
      </c>
      <c r="F248" s="732">
        <f t="shared" si="16"/>
        <v>0</v>
      </c>
      <c r="G248" s="731">
        <f t="shared" si="17"/>
        <v>0</v>
      </c>
      <c r="H248" s="733">
        <f>+J184*G248+E248</f>
        <v>0</v>
      </c>
      <c r="I248" s="733">
        <f>+J185*G248+E248</f>
        <v>0</v>
      </c>
      <c r="J248" s="734">
        <f t="shared" si="18"/>
        <v>0</v>
      </c>
      <c r="K248" s="724"/>
      <c r="L248" s="735"/>
      <c r="M248" s="734">
        <f t="shared" si="19"/>
        <v>0</v>
      </c>
      <c r="N248" s="735"/>
      <c r="O248" s="734">
        <f t="shared" si="20"/>
        <v>0</v>
      </c>
      <c r="P248" s="734">
        <f t="shared" si="21"/>
        <v>0</v>
      </c>
      <c r="Q248" s="674"/>
    </row>
    <row r="249" spans="1:17">
      <c r="B249" s="330"/>
      <c r="C249" s="673" t="s">
        <v>288</v>
      </c>
      <c r="D249" s="669"/>
      <c r="E249" s="669">
        <f>SUM(E189:E248)</f>
        <v>6529258.7800000003</v>
      </c>
      <c r="F249" s="669"/>
      <c r="G249" s="669"/>
      <c r="H249" s="669">
        <f>SUM(H189:H248)</f>
        <v>29484200.023189962</v>
      </c>
      <c r="I249" s="669">
        <f>SUM(I189:I248)</f>
        <v>29484200.023189962</v>
      </c>
      <c r="J249" s="669">
        <f>SUM(J189:J248)</f>
        <v>0</v>
      </c>
      <c r="K249" s="669"/>
      <c r="L249" s="669"/>
      <c r="M249" s="669"/>
      <c r="N249" s="669"/>
      <c r="O249" s="669"/>
      <c r="Q249" s="669"/>
    </row>
    <row r="250" spans="1:17">
      <c r="B250" s="330"/>
      <c r="D250" s="563"/>
      <c r="E250" s="542"/>
      <c r="F250" s="542"/>
      <c r="G250" s="542"/>
      <c r="H250" s="542"/>
      <c r="I250" s="646"/>
      <c r="J250" s="646"/>
      <c r="K250" s="669"/>
      <c r="L250" s="646"/>
      <c r="M250" s="646"/>
      <c r="N250" s="646"/>
      <c r="O250" s="646"/>
      <c r="Q250" s="669"/>
    </row>
    <row r="251" spans="1:17">
      <c r="B251" s="330"/>
      <c r="C251" s="542" t="s">
        <v>595</v>
      </c>
      <c r="D251" s="563"/>
      <c r="E251" s="542"/>
      <c r="F251" s="542"/>
      <c r="G251" s="542"/>
      <c r="H251" s="542"/>
      <c r="I251" s="646"/>
      <c r="J251" s="646"/>
      <c r="K251" s="669"/>
      <c r="L251" s="646"/>
      <c r="M251" s="646"/>
      <c r="N251" s="646"/>
      <c r="O251" s="646"/>
      <c r="Q251" s="669"/>
    </row>
    <row r="252" spans="1:17">
      <c r="B252" s="330"/>
      <c r="D252" s="563"/>
      <c r="E252" s="542"/>
      <c r="F252" s="542"/>
      <c r="G252" s="542"/>
      <c r="H252" s="542"/>
      <c r="I252" s="646"/>
      <c r="J252" s="646"/>
      <c r="K252" s="669"/>
      <c r="L252" s="646"/>
      <c r="M252" s="646"/>
      <c r="N252" s="646"/>
      <c r="O252" s="646"/>
      <c r="Q252" s="669"/>
    </row>
    <row r="253" spans="1:17">
      <c r="B253" s="330"/>
      <c r="C253" s="576" t="s">
        <v>596</v>
      </c>
      <c r="D253" s="673"/>
      <c r="E253" s="673"/>
      <c r="F253" s="673"/>
      <c r="G253" s="673"/>
      <c r="H253" s="669"/>
      <c r="I253" s="669"/>
      <c r="J253" s="674"/>
      <c r="K253" s="674"/>
      <c r="L253" s="674"/>
      <c r="M253" s="674"/>
      <c r="N253" s="674"/>
      <c r="O253" s="674"/>
      <c r="Q253" s="674"/>
    </row>
    <row r="254" spans="1:17">
      <c r="B254" s="330"/>
      <c r="C254" s="576" t="s">
        <v>476</v>
      </c>
      <c r="D254" s="673"/>
      <c r="E254" s="673"/>
      <c r="F254" s="673"/>
      <c r="G254" s="673"/>
      <c r="H254" s="669"/>
      <c r="I254" s="669"/>
      <c r="J254" s="674"/>
      <c r="K254" s="674"/>
      <c r="L254" s="674"/>
      <c r="M254" s="674"/>
      <c r="N254" s="674"/>
      <c r="O254" s="674"/>
      <c r="Q254" s="674"/>
    </row>
    <row r="255" spans="1:17">
      <c r="B255" s="330"/>
      <c r="C255" s="576" t="s">
        <v>289</v>
      </c>
      <c r="D255" s="673"/>
      <c r="E255" s="673"/>
      <c r="F255" s="673"/>
      <c r="G255" s="673"/>
      <c r="H255" s="669"/>
      <c r="I255" s="669"/>
      <c r="J255" s="674"/>
      <c r="K255" s="674"/>
      <c r="L255" s="674"/>
      <c r="M255" s="674"/>
      <c r="N255" s="674"/>
      <c r="O255" s="674"/>
      <c r="Q255" s="674"/>
    </row>
    <row r="256" spans="1:17" ht="20.25">
      <c r="A256" s="675" t="s">
        <v>764</v>
      </c>
      <c r="B256" s="542"/>
      <c r="C256" s="655"/>
      <c r="D256" s="563"/>
      <c r="E256" s="542"/>
      <c r="F256" s="645"/>
      <c r="G256" s="645"/>
      <c r="H256" s="542"/>
      <c r="I256" s="646"/>
      <c r="L256" s="676"/>
      <c r="M256" s="676"/>
      <c r="N256" s="676"/>
      <c r="O256" s="591" t="str">
        <f>"Page "&amp;SUM(Q$3:Q256)&amp;" of "</f>
        <v xml:space="preserve">Page 4 of </v>
      </c>
      <c r="P256" s="592">
        <f>COUNT(Q$8:Q$58212)</f>
        <v>23</v>
      </c>
      <c r="Q256" s="756">
        <v>1</v>
      </c>
    </row>
    <row r="257" spans="1:17">
      <c r="B257" s="542"/>
      <c r="C257" s="542"/>
      <c r="D257" s="563"/>
      <c r="E257" s="542"/>
      <c r="F257" s="542"/>
      <c r="G257" s="542"/>
      <c r="H257" s="542"/>
      <c r="I257" s="646"/>
      <c r="J257" s="542"/>
      <c r="K257" s="588"/>
      <c r="Q257" s="588"/>
    </row>
    <row r="258" spans="1:17" ht="18">
      <c r="B258" s="595" t="s">
        <v>174</v>
      </c>
      <c r="C258" s="677" t="s">
        <v>290</v>
      </c>
      <c r="D258" s="563"/>
      <c r="E258" s="542"/>
      <c r="F258" s="542"/>
      <c r="G258" s="542"/>
      <c r="H258" s="542"/>
      <c r="I258" s="646"/>
      <c r="J258" s="646"/>
      <c r="K258" s="669"/>
      <c r="L258" s="646"/>
      <c r="M258" s="646"/>
      <c r="N258" s="646"/>
      <c r="O258" s="646"/>
      <c r="Q258" s="669"/>
    </row>
    <row r="259" spans="1:17" ht="18.75">
      <c r="B259" s="595"/>
      <c r="C259" s="594"/>
      <c r="D259" s="563"/>
      <c r="E259" s="542"/>
      <c r="F259" s="542"/>
      <c r="G259" s="542"/>
      <c r="H259" s="542"/>
      <c r="I259" s="646"/>
      <c r="J259" s="646"/>
      <c r="K259" s="669"/>
      <c r="L259" s="646"/>
      <c r="M259" s="646"/>
      <c r="N259" s="646"/>
      <c r="O259" s="646"/>
      <c r="Q259" s="669"/>
    </row>
    <row r="260" spans="1:17" ht="18.75">
      <c r="B260" s="595"/>
      <c r="C260" s="594" t="s">
        <v>291</v>
      </c>
      <c r="D260" s="563"/>
      <c r="E260" s="542"/>
      <c r="F260" s="542"/>
      <c r="G260" s="542"/>
      <c r="H260" s="542"/>
      <c r="I260" s="646"/>
      <c r="J260" s="646"/>
      <c r="K260" s="669"/>
      <c r="L260" s="646"/>
      <c r="M260" s="646"/>
      <c r="N260" s="646"/>
      <c r="O260" s="646"/>
      <c r="Q260" s="669"/>
    </row>
    <row r="261" spans="1:17" ht="15.75" thickBot="1">
      <c r="B261" s="330"/>
      <c r="C261" s="396"/>
      <c r="D261" s="563"/>
      <c r="E261" s="542"/>
      <c r="F261" s="542"/>
      <c r="G261" s="542"/>
      <c r="H261" s="542"/>
      <c r="I261" s="646"/>
      <c r="J261" s="646"/>
      <c r="K261" s="669"/>
      <c r="L261" s="646"/>
      <c r="M261" s="646"/>
      <c r="N261" s="646"/>
      <c r="O261" s="646"/>
      <c r="Q261" s="669"/>
    </row>
    <row r="262" spans="1:17" ht="15.75">
      <c r="B262" s="330"/>
      <c r="C262" s="596" t="s">
        <v>292</v>
      </c>
      <c r="D262" s="563"/>
      <c r="E262" s="542"/>
      <c r="F262" s="542"/>
      <c r="G262" s="542"/>
      <c r="H262" s="864"/>
      <c r="I262" s="542" t="s">
        <v>271</v>
      </c>
      <c r="J262" s="542"/>
      <c r="K262" s="588"/>
      <c r="L262" s="757">
        <f>+J268</f>
        <v>2021</v>
      </c>
      <c r="M262" s="739" t="s">
        <v>254</v>
      </c>
      <c r="N262" s="739" t="s">
        <v>255</v>
      </c>
      <c r="O262" s="740" t="s">
        <v>256</v>
      </c>
      <c r="Q262" s="588"/>
    </row>
    <row r="263" spans="1:17" ht="15.75">
      <c r="B263" s="330"/>
      <c r="C263" s="596"/>
      <c r="D263" s="563"/>
      <c r="E263" s="542"/>
      <c r="F263" s="542"/>
      <c r="H263" s="542"/>
      <c r="I263" s="681"/>
      <c r="J263" s="681"/>
      <c r="K263" s="682"/>
      <c r="L263" s="758" t="s">
        <v>455</v>
      </c>
      <c r="M263" s="759">
        <f>VLOOKUP(J268,C275:P334,10)</f>
        <v>172566.23887964021</v>
      </c>
      <c r="N263" s="759">
        <f>VLOOKUP(J268,C275:P334,12)</f>
        <v>172566.23887964021</v>
      </c>
      <c r="O263" s="760">
        <f>+N263-M263</f>
        <v>0</v>
      </c>
      <c r="Q263" s="682"/>
    </row>
    <row r="264" spans="1:17">
      <c r="B264" s="330"/>
      <c r="C264" s="684" t="s">
        <v>293</v>
      </c>
      <c r="D264" s="1711" t="s">
        <v>936</v>
      </c>
      <c r="E264" s="1711"/>
      <c r="F264" s="1711"/>
      <c r="G264" s="1711"/>
      <c r="H264" s="688"/>
      <c r="I264" s="688"/>
      <c r="J264" s="646"/>
      <c r="K264" s="669"/>
      <c r="L264" s="758" t="s">
        <v>456</v>
      </c>
      <c r="M264" s="761">
        <f>VLOOKUP(J268,C275:P334,6)</f>
        <v>182713.11405214923</v>
      </c>
      <c r="N264" s="761">
        <f>VLOOKUP(J268,C275:P334,7)</f>
        <v>182713.11405214923</v>
      </c>
      <c r="O264" s="762">
        <f>+N264-M264</f>
        <v>0</v>
      </c>
      <c r="Q264" s="669"/>
    </row>
    <row r="265" spans="1:17" ht="13.5" thickBot="1">
      <c r="B265" s="330"/>
      <c r="C265" s="686"/>
      <c r="D265" s="690"/>
      <c r="E265" s="688"/>
      <c r="F265" s="688"/>
      <c r="G265" s="688"/>
      <c r="H265" s="688"/>
      <c r="I265" s="688"/>
      <c r="J265" s="646"/>
      <c r="K265" s="669"/>
      <c r="L265" s="705" t="s">
        <v>457</v>
      </c>
      <c r="M265" s="763">
        <f>+M264-M263</f>
        <v>10146.875172509026</v>
      </c>
      <c r="N265" s="763">
        <f>+N264-N263</f>
        <v>10146.875172509026</v>
      </c>
      <c r="O265" s="764">
        <f>+O264-O263</f>
        <v>0</v>
      </c>
      <c r="Q265" s="669"/>
    </row>
    <row r="266" spans="1:17" ht="13.5" thickBot="1">
      <c r="B266" s="330"/>
      <c r="C266" s="689"/>
      <c r="D266" s="690"/>
      <c r="E266" s="688"/>
      <c r="F266" s="688"/>
      <c r="G266" s="688"/>
      <c r="H266" s="688"/>
      <c r="I266" s="688"/>
      <c r="J266" s="688"/>
      <c r="K266" s="691"/>
      <c r="L266" s="688"/>
      <c r="M266" s="688"/>
      <c r="N266" s="688"/>
      <c r="O266" s="688"/>
      <c r="P266" s="576"/>
      <c r="Q266" s="691"/>
    </row>
    <row r="267" spans="1:17" ht="13.5" thickBot="1">
      <c r="B267" s="330"/>
      <c r="C267" s="692" t="s">
        <v>294</v>
      </c>
      <c r="D267" s="693"/>
      <c r="E267" s="693"/>
      <c r="F267" s="693"/>
      <c r="G267" s="693"/>
      <c r="H267" s="693"/>
      <c r="I267" s="693"/>
      <c r="J267" s="693"/>
      <c r="K267" s="695"/>
      <c r="P267" s="696"/>
      <c r="Q267" s="695"/>
    </row>
    <row r="268" spans="1:17" ht="15">
      <c r="A268" s="1310"/>
      <c r="B268" s="330"/>
      <c r="C268" s="697" t="s">
        <v>272</v>
      </c>
      <c r="D268" s="1453">
        <v>1232494.28</v>
      </c>
      <c r="E268" s="655" t="s">
        <v>273</v>
      </c>
      <c r="H268" s="698"/>
      <c r="I268" s="698"/>
      <c r="J268" s="1451">
        <f>$J$95</f>
        <v>2021</v>
      </c>
      <c r="K268" s="586"/>
      <c r="L268" s="1717" t="s">
        <v>274</v>
      </c>
      <c r="M268" s="1717"/>
      <c r="N268" s="1717"/>
      <c r="O268" s="1717"/>
      <c r="P268" s="588"/>
      <c r="Q268" s="586"/>
    </row>
    <row r="269" spans="1:17">
      <c r="A269" s="1310"/>
      <c r="B269" s="330"/>
      <c r="C269" s="697" t="s">
        <v>275</v>
      </c>
      <c r="D269" s="873">
        <v>2013</v>
      </c>
      <c r="E269" s="697" t="s">
        <v>276</v>
      </c>
      <c r="F269" s="698"/>
      <c r="G269" s="698"/>
      <c r="I269" s="330"/>
      <c r="J269" s="867">
        <v>0</v>
      </c>
      <c r="K269" s="700"/>
      <c r="L269" s="669" t="s">
        <v>475</v>
      </c>
      <c r="P269" s="588"/>
      <c r="Q269" s="700"/>
    </row>
    <row r="270" spans="1:17">
      <c r="A270" s="1310"/>
      <c r="B270" s="330"/>
      <c r="C270" s="697" t="s">
        <v>277</v>
      </c>
      <c r="D270" s="1253">
        <v>6</v>
      </c>
      <c r="E270" s="697" t="s">
        <v>278</v>
      </c>
      <c r="F270" s="698"/>
      <c r="G270" s="698"/>
      <c r="I270" s="330"/>
      <c r="J270" s="701">
        <f>$F$70</f>
        <v>0.15341253840442806</v>
      </c>
      <c r="K270" s="702"/>
      <c r="L270" s="542" t="str">
        <f>"          INPUT TRUE-UP ARR (WITH &amp; WITHOUT INCENTIVES) FROM EACH PRIOR YEAR"</f>
        <v xml:space="preserve">          INPUT TRUE-UP ARR (WITH &amp; WITHOUT INCENTIVES) FROM EACH PRIOR YEAR</v>
      </c>
      <c r="P270" s="588"/>
      <c r="Q270" s="702"/>
    </row>
    <row r="271" spans="1:17">
      <c r="A271" s="1310"/>
      <c r="B271" s="330"/>
      <c r="C271" s="697" t="s">
        <v>279</v>
      </c>
      <c r="D271" s="703">
        <f>H79</f>
        <v>44</v>
      </c>
      <c r="E271" s="697" t="s">
        <v>280</v>
      </c>
      <c r="F271" s="698"/>
      <c r="G271" s="698"/>
      <c r="I271" s="330"/>
      <c r="J271" s="701">
        <f>IF(H262="",J270,$F$69)</f>
        <v>0.15341253840442806</v>
      </c>
      <c r="K271" s="704"/>
      <c r="L271" s="542" t="s">
        <v>362</v>
      </c>
      <c r="M271" s="704"/>
      <c r="N271" s="704"/>
      <c r="O271" s="704"/>
      <c r="P271" s="588"/>
      <c r="Q271" s="704"/>
    </row>
    <row r="272" spans="1:17" ht="13.5" thickBot="1">
      <c r="A272" s="1310"/>
      <c r="B272" s="330"/>
      <c r="C272" s="697" t="s">
        <v>281</v>
      </c>
      <c r="D272" s="866" t="s">
        <v>933</v>
      </c>
      <c r="E272" s="705" t="s">
        <v>282</v>
      </c>
      <c r="F272" s="706"/>
      <c r="G272" s="706"/>
      <c r="H272" s="707"/>
      <c r="I272" s="707"/>
      <c r="J272" s="685">
        <f>IF(D268=0,0,D268/D271)</f>
        <v>28011.233636363639</v>
      </c>
      <c r="K272" s="669"/>
      <c r="L272" s="669" t="s">
        <v>363</v>
      </c>
      <c r="M272" s="669"/>
      <c r="N272" s="669"/>
      <c r="O272" s="669"/>
      <c r="P272" s="588"/>
      <c r="Q272" s="669"/>
    </row>
    <row r="273" spans="1:17" ht="38.25">
      <c r="A273" s="529"/>
      <c r="B273" s="529"/>
      <c r="C273" s="708" t="s">
        <v>272</v>
      </c>
      <c r="D273" s="709" t="s">
        <v>283</v>
      </c>
      <c r="E273" s="710" t="s">
        <v>284</v>
      </c>
      <c r="F273" s="709" t="s">
        <v>285</v>
      </c>
      <c r="G273" s="709" t="s">
        <v>458</v>
      </c>
      <c r="H273" s="710" t="s">
        <v>356</v>
      </c>
      <c r="I273" s="711" t="s">
        <v>356</v>
      </c>
      <c r="J273" s="708" t="s">
        <v>295</v>
      </c>
      <c r="K273" s="712"/>
      <c r="L273" s="710" t="s">
        <v>358</v>
      </c>
      <c r="M273" s="710" t="s">
        <v>364</v>
      </c>
      <c r="N273" s="710" t="s">
        <v>358</v>
      </c>
      <c r="O273" s="710" t="s">
        <v>366</v>
      </c>
      <c r="P273" s="710" t="s">
        <v>286</v>
      </c>
      <c r="Q273" s="713"/>
    </row>
    <row r="274" spans="1:17" ht="13.5" thickBot="1">
      <c r="B274" s="330"/>
      <c r="C274" s="714" t="s">
        <v>177</v>
      </c>
      <c r="D274" s="715" t="s">
        <v>178</v>
      </c>
      <c r="E274" s="714" t="s">
        <v>37</v>
      </c>
      <c r="F274" s="715" t="s">
        <v>178</v>
      </c>
      <c r="G274" s="715" t="s">
        <v>178</v>
      </c>
      <c r="H274" s="716" t="s">
        <v>298</v>
      </c>
      <c r="I274" s="717" t="s">
        <v>300</v>
      </c>
      <c r="J274" s="718" t="s">
        <v>389</v>
      </c>
      <c r="K274" s="719"/>
      <c r="L274" s="716" t="s">
        <v>287</v>
      </c>
      <c r="M274" s="716" t="s">
        <v>287</v>
      </c>
      <c r="N274" s="716" t="s">
        <v>467</v>
      </c>
      <c r="O274" s="716" t="s">
        <v>467</v>
      </c>
      <c r="P274" s="716" t="s">
        <v>467</v>
      </c>
      <c r="Q274" s="586"/>
    </row>
    <row r="275" spans="1:17">
      <c r="B275" s="330"/>
      <c r="C275" s="720">
        <f>IF(D269= "","-",D269)</f>
        <v>2013</v>
      </c>
      <c r="D275" s="673">
        <f>+D268</f>
        <v>1232494.28</v>
      </c>
      <c r="E275" s="721">
        <f>+J272/12*(12-D270)</f>
        <v>14005.616818181818</v>
      </c>
      <c r="F275" s="765">
        <f t="shared" ref="F275:F334" si="24">+D275-E275</f>
        <v>1218488.6631818183</v>
      </c>
      <c r="G275" s="673">
        <f t="shared" ref="G275:G334" si="25">+(D275+F275)/2</f>
        <v>1225491.4715909092</v>
      </c>
      <c r="H275" s="722">
        <f>+J270*G275+E275</f>
        <v>202011.37426792123</v>
      </c>
      <c r="I275" s="723">
        <f>+J271*G275+E275</f>
        <v>202011.37426792123</v>
      </c>
      <c r="J275" s="724">
        <f t="shared" ref="J275:J334" si="26">+I275-H275</f>
        <v>0</v>
      </c>
      <c r="K275" s="724"/>
      <c r="L275" s="728">
        <v>219263</v>
      </c>
      <c r="M275" s="766">
        <f t="shared" ref="M275:M334" si="27">IF(L275&lt;&gt;0,+H275-L275,0)</f>
        <v>-17251.62573207877</v>
      </c>
      <c r="N275" s="728">
        <v>219263</v>
      </c>
      <c r="O275" s="766">
        <f t="shared" ref="O275:O334" si="28">IF(N275&lt;&gt;0,+I275-N275,0)</f>
        <v>-17251.62573207877</v>
      </c>
      <c r="P275" s="766">
        <f t="shared" ref="P275:P334" si="29">+O275-M275</f>
        <v>0</v>
      </c>
      <c r="Q275" s="674"/>
    </row>
    <row r="276" spans="1:17">
      <c r="B276" s="330"/>
      <c r="C276" s="720">
        <f>IF(D269="","-",+C275+1)</f>
        <v>2014</v>
      </c>
      <c r="D276" s="673">
        <f t="shared" ref="D276:D334" si="30">F275</f>
        <v>1218488.6631818183</v>
      </c>
      <c r="E276" s="726">
        <f>IF(D276&gt;$J$272,$J$272,D276)</f>
        <v>28011.233636363639</v>
      </c>
      <c r="F276" s="726">
        <f t="shared" si="24"/>
        <v>1190477.4295454547</v>
      </c>
      <c r="G276" s="673">
        <f t="shared" si="25"/>
        <v>1204483.0463636364</v>
      </c>
      <c r="H276" s="721">
        <f>+J270*G276+E276</f>
        <v>212794.03524410751</v>
      </c>
      <c r="I276" s="727">
        <f>+J271*G276+E276</f>
        <v>212794.03524410751</v>
      </c>
      <c r="J276" s="724">
        <f t="shared" si="26"/>
        <v>0</v>
      </c>
      <c r="K276" s="724"/>
      <c r="L276" s="728">
        <v>203042</v>
      </c>
      <c r="M276" s="724">
        <f t="shared" si="27"/>
        <v>9752.0352441075083</v>
      </c>
      <c r="N276" s="728">
        <v>203042</v>
      </c>
      <c r="O276" s="724">
        <f t="shared" si="28"/>
        <v>9752.0352441075083</v>
      </c>
      <c r="P276" s="724">
        <f t="shared" si="29"/>
        <v>0</v>
      </c>
      <c r="Q276" s="674"/>
    </row>
    <row r="277" spans="1:17">
      <c r="B277" s="330"/>
      <c r="C277" s="720">
        <f>IF(D269="","-",+C276+1)</f>
        <v>2015</v>
      </c>
      <c r="D277" s="673">
        <f t="shared" si="30"/>
        <v>1190477.4295454547</v>
      </c>
      <c r="E277" s="726">
        <f t="shared" ref="E277:E334" si="31">IF(D277&gt;$J$272,$J$272,D277)</f>
        <v>28011.233636363639</v>
      </c>
      <c r="F277" s="726">
        <f t="shared" si="24"/>
        <v>1162466.195909091</v>
      </c>
      <c r="G277" s="673">
        <f t="shared" si="25"/>
        <v>1176471.812727273</v>
      </c>
      <c r="H277" s="721">
        <f>+J270*G277+E277</f>
        <v>208496.76078811352</v>
      </c>
      <c r="I277" s="727">
        <f>+J271*G277+E277</f>
        <v>208496.76078811352</v>
      </c>
      <c r="J277" s="724">
        <f t="shared" si="26"/>
        <v>0</v>
      </c>
      <c r="K277" s="724"/>
      <c r="L277" s="728">
        <v>228159</v>
      </c>
      <c r="M277" s="724">
        <f t="shared" si="27"/>
        <v>-19662.239211886481</v>
      </c>
      <c r="N277" s="728">
        <v>228159</v>
      </c>
      <c r="O277" s="724">
        <f t="shared" si="28"/>
        <v>-19662.239211886481</v>
      </c>
      <c r="P277" s="724">
        <f t="shared" si="29"/>
        <v>0</v>
      </c>
      <c r="Q277" s="674"/>
    </row>
    <row r="278" spans="1:17">
      <c r="B278" s="330"/>
      <c r="C278" s="720">
        <f>IF(D269="","-",+C277+1)</f>
        <v>2016</v>
      </c>
      <c r="D278" s="673">
        <f t="shared" si="30"/>
        <v>1162466.195909091</v>
      </c>
      <c r="E278" s="726">
        <f t="shared" si="31"/>
        <v>28011.233636363639</v>
      </c>
      <c r="F278" s="726">
        <f t="shared" si="24"/>
        <v>1134454.9622727274</v>
      </c>
      <c r="G278" s="673">
        <f t="shared" si="25"/>
        <v>1148460.5790909091</v>
      </c>
      <c r="H278" s="721">
        <f>+J270*G278+E278</f>
        <v>204199.48633211941</v>
      </c>
      <c r="I278" s="727">
        <f>+J271*G278+E278</f>
        <v>204199.48633211941</v>
      </c>
      <c r="J278" s="724">
        <f t="shared" si="26"/>
        <v>0</v>
      </c>
      <c r="K278" s="724"/>
      <c r="L278" s="728">
        <v>81330</v>
      </c>
      <c r="M278" s="724">
        <f t="shared" si="27"/>
        <v>122869.48633211941</v>
      </c>
      <c r="N278" s="728">
        <v>81330</v>
      </c>
      <c r="O278" s="724">
        <f t="shared" si="28"/>
        <v>122869.48633211941</v>
      </c>
      <c r="P278" s="724">
        <f t="shared" si="29"/>
        <v>0</v>
      </c>
      <c r="Q278" s="674"/>
    </row>
    <row r="279" spans="1:17">
      <c r="B279" s="330"/>
      <c r="C279" s="720">
        <f>IF(D269="","-",+C278+1)</f>
        <v>2017</v>
      </c>
      <c r="D279" s="673">
        <f t="shared" si="30"/>
        <v>1134454.9622727274</v>
      </c>
      <c r="E279" s="726">
        <f t="shared" si="31"/>
        <v>28011.233636363639</v>
      </c>
      <c r="F279" s="726">
        <f t="shared" si="24"/>
        <v>1106443.7286363638</v>
      </c>
      <c r="G279" s="673">
        <f t="shared" si="25"/>
        <v>1120449.3454545457</v>
      </c>
      <c r="H279" s="721">
        <f>+J270*G279+E279</f>
        <v>199902.21187612542</v>
      </c>
      <c r="I279" s="727">
        <f>+J271*G279+E279</f>
        <v>199902.21187612542</v>
      </c>
      <c r="J279" s="724">
        <f t="shared" si="26"/>
        <v>0</v>
      </c>
      <c r="K279" s="724"/>
      <c r="L279" s="728">
        <v>222274</v>
      </c>
      <c r="M279" s="724">
        <f t="shared" si="27"/>
        <v>-22371.788123874576</v>
      </c>
      <c r="N279" s="728">
        <v>222274</v>
      </c>
      <c r="O279" s="724">
        <f t="shared" si="28"/>
        <v>-22371.788123874576</v>
      </c>
      <c r="P279" s="724">
        <f t="shared" si="29"/>
        <v>0</v>
      </c>
      <c r="Q279" s="674"/>
    </row>
    <row r="280" spans="1:17">
      <c r="B280" s="330"/>
      <c r="C280" s="720">
        <f>IF(D269="","-",+C279+1)</f>
        <v>2018</v>
      </c>
      <c r="D280" s="1455">
        <f t="shared" si="30"/>
        <v>1106443.7286363638</v>
      </c>
      <c r="E280" s="726">
        <f t="shared" si="31"/>
        <v>28011.233636363639</v>
      </c>
      <c r="F280" s="726">
        <f t="shared" si="24"/>
        <v>1078432.4950000001</v>
      </c>
      <c r="G280" s="673">
        <f t="shared" si="25"/>
        <v>1092438.1118181818</v>
      </c>
      <c r="H280" s="721">
        <f>+J270*G280+E280</f>
        <v>195604.93742013135</v>
      </c>
      <c r="I280" s="727">
        <f>+J271*G280+E280</f>
        <v>195604.93742013135</v>
      </c>
      <c r="J280" s="724">
        <f t="shared" si="26"/>
        <v>0</v>
      </c>
      <c r="K280" s="724"/>
      <c r="L280" s="728">
        <v>147062</v>
      </c>
      <c r="M280" s="724">
        <f t="shared" si="27"/>
        <v>48542.937420131348</v>
      </c>
      <c r="N280" s="728">
        <v>147062</v>
      </c>
      <c r="O280" s="724">
        <f t="shared" si="28"/>
        <v>48542.937420131348</v>
      </c>
      <c r="P280" s="724">
        <f t="shared" si="29"/>
        <v>0</v>
      </c>
      <c r="Q280" s="674"/>
    </row>
    <row r="281" spans="1:17">
      <c r="B281" s="330"/>
      <c r="C281" s="720">
        <f>IF(D269="","-",+C280+1)</f>
        <v>2019</v>
      </c>
      <c r="D281" s="1269">
        <f t="shared" si="30"/>
        <v>1078432.4950000001</v>
      </c>
      <c r="E281" s="726">
        <f t="shared" si="31"/>
        <v>28011.233636363639</v>
      </c>
      <c r="F281" s="726">
        <f t="shared" si="24"/>
        <v>1050421.2613636365</v>
      </c>
      <c r="G281" s="673">
        <f t="shared" si="25"/>
        <v>1064426.8781818184</v>
      </c>
      <c r="H281" s="721">
        <f>+J270*G281+E281</f>
        <v>191307.66296413733</v>
      </c>
      <c r="I281" s="727">
        <f>+J271*G281+E281</f>
        <v>191307.66296413733</v>
      </c>
      <c r="J281" s="724">
        <f t="shared" si="26"/>
        <v>0</v>
      </c>
      <c r="K281" s="724"/>
      <c r="L281" s="1452">
        <v>142952</v>
      </c>
      <c r="M281" s="724">
        <f t="shared" si="27"/>
        <v>48355.662964137329</v>
      </c>
      <c r="N281" s="1452">
        <v>142952</v>
      </c>
      <c r="O281" s="724">
        <f t="shared" si="28"/>
        <v>48355.662964137329</v>
      </c>
      <c r="P281" s="724">
        <f t="shared" si="29"/>
        <v>0</v>
      </c>
      <c r="Q281" s="674"/>
    </row>
    <row r="282" spans="1:17">
      <c r="B282" s="330"/>
      <c r="C282" s="720">
        <f>IF(D269="","-",+C281+1)</f>
        <v>2020</v>
      </c>
      <c r="D282" s="673">
        <f t="shared" si="30"/>
        <v>1050421.2613636365</v>
      </c>
      <c r="E282" s="726">
        <f t="shared" si="31"/>
        <v>28011.233636363639</v>
      </c>
      <c r="F282" s="726">
        <f t="shared" si="24"/>
        <v>1022410.0277272728</v>
      </c>
      <c r="G282" s="673">
        <f t="shared" si="25"/>
        <v>1036415.6445454546</v>
      </c>
      <c r="H282" s="721">
        <f>+J270*G282+E282</f>
        <v>187010.38850814325</v>
      </c>
      <c r="I282" s="727">
        <f>+J271*G282+E282</f>
        <v>187010.38850814325</v>
      </c>
      <c r="J282" s="724">
        <f t="shared" si="26"/>
        <v>0</v>
      </c>
      <c r="K282" s="724"/>
      <c r="L282" s="728">
        <v>137673.88048936386</v>
      </c>
      <c r="M282" s="724">
        <f t="shared" si="27"/>
        <v>49336.508018779394</v>
      </c>
      <c r="N282" s="1548">
        <v>137673.88048936386</v>
      </c>
      <c r="O282" s="724">
        <f t="shared" si="28"/>
        <v>49336.508018779394</v>
      </c>
      <c r="P282" s="724">
        <f t="shared" si="29"/>
        <v>0</v>
      </c>
      <c r="Q282" s="674"/>
    </row>
    <row r="283" spans="1:17">
      <c r="B283" s="330"/>
      <c r="C283" s="720">
        <f>IF(D269="","-",+C282+1)</f>
        <v>2021</v>
      </c>
      <c r="D283" s="673">
        <f t="shared" si="30"/>
        <v>1022410.0277272728</v>
      </c>
      <c r="E283" s="726">
        <f t="shared" si="31"/>
        <v>28011.233636363639</v>
      </c>
      <c r="F283" s="726">
        <f t="shared" si="24"/>
        <v>994398.79409090918</v>
      </c>
      <c r="G283" s="673">
        <f t="shared" si="25"/>
        <v>1008404.410909091</v>
      </c>
      <c r="H283" s="721">
        <f>+J270*G283+E283</f>
        <v>182713.11405214923</v>
      </c>
      <c r="I283" s="727">
        <f>+J271*G283+E283</f>
        <v>182713.11405214923</v>
      </c>
      <c r="J283" s="724">
        <f t="shared" si="26"/>
        <v>0</v>
      </c>
      <c r="K283" s="724"/>
      <c r="L283" s="728">
        <v>172566.23887964021</v>
      </c>
      <c r="M283" s="724">
        <f t="shared" si="27"/>
        <v>10146.875172509026</v>
      </c>
      <c r="N283" s="1548">
        <v>172566.23887964021</v>
      </c>
      <c r="O283" s="724">
        <f t="shared" si="28"/>
        <v>10146.875172509026</v>
      </c>
      <c r="P283" s="724">
        <f t="shared" si="29"/>
        <v>0</v>
      </c>
      <c r="Q283" s="674"/>
    </row>
    <row r="284" spans="1:17">
      <c r="B284" s="330"/>
      <c r="C284" s="1291">
        <f>IF(D269="","-",+C283+1)</f>
        <v>2022</v>
      </c>
      <c r="D284" s="673">
        <f t="shared" si="30"/>
        <v>994398.79409090918</v>
      </c>
      <c r="E284" s="726">
        <f t="shared" si="31"/>
        <v>28011.233636363639</v>
      </c>
      <c r="F284" s="726">
        <f t="shared" si="24"/>
        <v>966387.56045454554</v>
      </c>
      <c r="G284" s="673">
        <f t="shared" si="25"/>
        <v>980393.17727272736</v>
      </c>
      <c r="H284" s="721">
        <f>+J270*G284+E284</f>
        <v>178415.83959615519</v>
      </c>
      <c r="I284" s="727">
        <f>+J271*G284+E284</f>
        <v>178415.83959615519</v>
      </c>
      <c r="J284" s="724">
        <f t="shared" si="26"/>
        <v>0</v>
      </c>
      <c r="K284" s="724"/>
      <c r="L284" s="728">
        <v>0</v>
      </c>
      <c r="M284" s="724">
        <f t="shared" si="27"/>
        <v>0</v>
      </c>
      <c r="N284" s="728">
        <v>0</v>
      </c>
      <c r="O284" s="724">
        <f t="shared" si="28"/>
        <v>0</v>
      </c>
      <c r="P284" s="724">
        <f t="shared" si="29"/>
        <v>0</v>
      </c>
      <c r="Q284" s="674"/>
    </row>
    <row r="285" spans="1:17">
      <c r="B285" s="330"/>
      <c r="C285" s="720">
        <f>IF(D269="","-",+C284+1)</f>
        <v>2023</v>
      </c>
      <c r="D285" s="673">
        <f t="shared" si="30"/>
        <v>966387.56045454554</v>
      </c>
      <c r="E285" s="726">
        <f t="shared" si="31"/>
        <v>28011.233636363639</v>
      </c>
      <c r="F285" s="726">
        <f t="shared" si="24"/>
        <v>938376.3268181819</v>
      </c>
      <c r="G285" s="673">
        <f t="shared" si="25"/>
        <v>952381.94363636372</v>
      </c>
      <c r="H285" s="721">
        <f>+J270*G285+E285</f>
        <v>174118.56514016114</v>
      </c>
      <c r="I285" s="727">
        <f>+J271*G285+E285</f>
        <v>174118.56514016114</v>
      </c>
      <c r="J285" s="724">
        <f t="shared" si="26"/>
        <v>0</v>
      </c>
      <c r="K285" s="724"/>
      <c r="L285" s="728"/>
      <c r="M285" s="724">
        <f t="shared" si="27"/>
        <v>0</v>
      </c>
      <c r="N285" s="728"/>
      <c r="O285" s="724">
        <f t="shared" si="28"/>
        <v>0</v>
      </c>
      <c r="P285" s="724">
        <f t="shared" si="29"/>
        <v>0</v>
      </c>
      <c r="Q285" s="674"/>
    </row>
    <row r="286" spans="1:17">
      <c r="B286" s="330"/>
      <c r="C286" s="720">
        <f>IF(D269="","-",+C285+1)</f>
        <v>2024</v>
      </c>
      <c r="D286" s="673">
        <f t="shared" si="30"/>
        <v>938376.3268181819</v>
      </c>
      <c r="E286" s="726">
        <f t="shared" si="31"/>
        <v>28011.233636363639</v>
      </c>
      <c r="F286" s="726">
        <f t="shared" si="24"/>
        <v>910365.09318181826</v>
      </c>
      <c r="G286" s="673">
        <f t="shared" si="25"/>
        <v>924370.71000000008</v>
      </c>
      <c r="H286" s="721">
        <f>+J270*G286+E286</f>
        <v>169821.29068416709</v>
      </c>
      <c r="I286" s="727">
        <f>+J271*G286+E286</f>
        <v>169821.29068416709</v>
      </c>
      <c r="J286" s="724">
        <f t="shared" si="26"/>
        <v>0</v>
      </c>
      <c r="K286" s="724"/>
      <c r="L286" s="728"/>
      <c r="M286" s="724">
        <f t="shared" si="27"/>
        <v>0</v>
      </c>
      <c r="N286" s="728"/>
      <c r="O286" s="724">
        <f t="shared" si="28"/>
        <v>0</v>
      </c>
      <c r="P286" s="724">
        <f t="shared" si="29"/>
        <v>0</v>
      </c>
      <c r="Q286" s="674"/>
    </row>
    <row r="287" spans="1:17">
      <c r="B287" s="330"/>
      <c r="C287" s="720">
        <f>IF(D269="","-",+C286+1)</f>
        <v>2025</v>
      </c>
      <c r="D287" s="673">
        <f t="shared" si="30"/>
        <v>910365.09318181826</v>
      </c>
      <c r="E287" s="726">
        <f t="shared" si="31"/>
        <v>28011.233636363639</v>
      </c>
      <c r="F287" s="726">
        <f t="shared" si="24"/>
        <v>882353.85954545462</v>
      </c>
      <c r="G287" s="673">
        <f t="shared" si="25"/>
        <v>896359.47636363644</v>
      </c>
      <c r="H287" s="721">
        <f>+J270*G287+E287</f>
        <v>165524.01622817304</v>
      </c>
      <c r="I287" s="727">
        <f>+J271*G287+E287</f>
        <v>165524.01622817304</v>
      </c>
      <c r="J287" s="724">
        <f t="shared" si="26"/>
        <v>0</v>
      </c>
      <c r="K287" s="724"/>
      <c r="L287" s="728"/>
      <c r="M287" s="724">
        <f t="shared" si="27"/>
        <v>0</v>
      </c>
      <c r="N287" s="728"/>
      <c r="O287" s="724">
        <f t="shared" si="28"/>
        <v>0</v>
      </c>
      <c r="P287" s="724">
        <f t="shared" si="29"/>
        <v>0</v>
      </c>
      <c r="Q287" s="674"/>
    </row>
    <row r="288" spans="1:17">
      <c r="B288" s="330"/>
      <c r="C288" s="720">
        <f>IF(D269="","-",+C287+1)</f>
        <v>2026</v>
      </c>
      <c r="D288" s="673">
        <f t="shared" si="30"/>
        <v>882353.85954545462</v>
      </c>
      <c r="E288" s="726">
        <f t="shared" si="31"/>
        <v>28011.233636363639</v>
      </c>
      <c r="F288" s="726">
        <f t="shared" si="24"/>
        <v>854342.62590909097</v>
      </c>
      <c r="G288" s="673">
        <f t="shared" si="25"/>
        <v>868348.24272727279</v>
      </c>
      <c r="H288" s="721">
        <f>+J270*G288+E288</f>
        <v>161226.741772179</v>
      </c>
      <c r="I288" s="727">
        <f>+J271*G288+E288</f>
        <v>161226.741772179</v>
      </c>
      <c r="J288" s="724">
        <f t="shared" si="26"/>
        <v>0</v>
      </c>
      <c r="K288" s="724"/>
      <c r="L288" s="728"/>
      <c r="M288" s="724">
        <f t="shared" si="27"/>
        <v>0</v>
      </c>
      <c r="N288" s="728"/>
      <c r="O288" s="724">
        <f t="shared" si="28"/>
        <v>0</v>
      </c>
      <c r="P288" s="724">
        <f t="shared" si="29"/>
        <v>0</v>
      </c>
      <c r="Q288" s="674"/>
    </row>
    <row r="289" spans="2:17">
      <c r="B289" s="330"/>
      <c r="C289" s="720">
        <f>IF(D269="","-",+C288+1)</f>
        <v>2027</v>
      </c>
      <c r="D289" s="673">
        <f t="shared" si="30"/>
        <v>854342.62590909097</v>
      </c>
      <c r="E289" s="726">
        <f t="shared" si="31"/>
        <v>28011.233636363639</v>
      </c>
      <c r="F289" s="726">
        <f t="shared" si="24"/>
        <v>826331.39227272733</v>
      </c>
      <c r="G289" s="673">
        <f t="shared" si="25"/>
        <v>840337.00909090915</v>
      </c>
      <c r="H289" s="721">
        <f>+J270*G289+E289</f>
        <v>156929.46731618495</v>
      </c>
      <c r="I289" s="727">
        <f>+J271*G289+E289</f>
        <v>156929.46731618495</v>
      </c>
      <c r="J289" s="724">
        <f t="shared" si="26"/>
        <v>0</v>
      </c>
      <c r="K289" s="724"/>
      <c r="L289" s="728"/>
      <c r="M289" s="724">
        <f t="shared" si="27"/>
        <v>0</v>
      </c>
      <c r="N289" s="728"/>
      <c r="O289" s="724">
        <f t="shared" si="28"/>
        <v>0</v>
      </c>
      <c r="P289" s="724">
        <f t="shared" si="29"/>
        <v>0</v>
      </c>
      <c r="Q289" s="674"/>
    </row>
    <row r="290" spans="2:17">
      <c r="B290" s="330"/>
      <c r="C290" s="720">
        <f>IF(D269="","-",+C289+1)</f>
        <v>2028</v>
      </c>
      <c r="D290" s="673">
        <f t="shared" si="30"/>
        <v>826331.39227272733</v>
      </c>
      <c r="E290" s="726">
        <f t="shared" si="31"/>
        <v>28011.233636363639</v>
      </c>
      <c r="F290" s="726">
        <f t="shared" si="24"/>
        <v>798320.15863636369</v>
      </c>
      <c r="G290" s="673">
        <f t="shared" si="25"/>
        <v>812325.77545454551</v>
      </c>
      <c r="H290" s="721">
        <f>+J270*G290+E290</f>
        <v>152632.1928601909</v>
      </c>
      <c r="I290" s="727">
        <f>+J271*G290+E290</f>
        <v>152632.1928601909</v>
      </c>
      <c r="J290" s="724">
        <f t="shared" si="26"/>
        <v>0</v>
      </c>
      <c r="K290" s="724"/>
      <c r="L290" s="728"/>
      <c r="M290" s="724">
        <f t="shared" si="27"/>
        <v>0</v>
      </c>
      <c r="N290" s="728"/>
      <c r="O290" s="724">
        <f t="shared" si="28"/>
        <v>0</v>
      </c>
      <c r="P290" s="724">
        <f t="shared" si="29"/>
        <v>0</v>
      </c>
      <c r="Q290" s="674"/>
    </row>
    <row r="291" spans="2:17">
      <c r="B291" s="330"/>
      <c r="C291" s="720">
        <f>IF(D269="","-",+C290+1)</f>
        <v>2029</v>
      </c>
      <c r="D291" s="673">
        <f t="shared" si="30"/>
        <v>798320.15863636369</v>
      </c>
      <c r="E291" s="726">
        <f t="shared" si="31"/>
        <v>28011.233636363639</v>
      </c>
      <c r="F291" s="726">
        <f t="shared" si="24"/>
        <v>770308.92500000005</v>
      </c>
      <c r="G291" s="673">
        <f t="shared" si="25"/>
        <v>784314.54181818187</v>
      </c>
      <c r="H291" s="721">
        <f>+J270*G291+E291</f>
        <v>148334.91840419685</v>
      </c>
      <c r="I291" s="727">
        <f>+J271*G291+E291</f>
        <v>148334.91840419685</v>
      </c>
      <c r="J291" s="724">
        <f t="shared" si="26"/>
        <v>0</v>
      </c>
      <c r="K291" s="724"/>
      <c r="L291" s="728"/>
      <c r="M291" s="724">
        <f t="shared" si="27"/>
        <v>0</v>
      </c>
      <c r="N291" s="728"/>
      <c r="O291" s="724">
        <f t="shared" si="28"/>
        <v>0</v>
      </c>
      <c r="P291" s="724">
        <f t="shared" si="29"/>
        <v>0</v>
      </c>
      <c r="Q291" s="674"/>
    </row>
    <row r="292" spans="2:17">
      <c r="B292" s="330"/>
      <c r="C292" s="720">
        <f>IF(D269="","-",+C291+1)</f>
        <v>2030</v>
      </c>
      <c r="D292" s="673">
        <f t="shared" si="30"/>
        <v>770308.92500000005</v>
      </c>
      <c r="E292" s="726">
        <f t="shared" si="31"/>
        <v>28011.233636363639</v>
      </c>
      <c r="F292" s="726">
        <f t="shared" si="24"/>
        <v>742297.6913636364</v>
      </c>
      <c r="G292" s="673">
        <f t="shared" si="25"/>
        <v>756303.30818181823</v>
      </c>
      <c r="H292" s="721">
        <f>+J270*G292+E292</f>
        <v>144037.64394820281</v>
      </c>
      <c r="I292" s="727">
        <f>+J271*G292+E292</f>
        <v>144037.64394820281</v>
      </c>
      <c r="J292" s="724">
        <f t="shared" si="26"/>
        <v>0</v>
      </c>
      <c r="K292" s="724"/>
      <c r="L292" s="728"/>
      <c r="M292" s="724">
        <f t="shared" si="27"/>
        <v>0</v>
      </c>
      <c r="N292" s="728"/>
      <c r="O292" s="724">
        <f t="shared" si="28"/>
        <v>0</v>
      </c>
      <c r="P292" s="724">
        <f t="shared" si="29"/>
        <v>0</v>
      </c>
      <c r="Q292" s="674"/>
    </row>
    <row r="293" spans="2:17">
      <c r="B293" s="330"/>
      <c r="C293" s="720">
        <f>IF(D269="","-",+C292+1)</f>
        <v>2031</v>
      </c>
      <c r="D293" s="673">
        <f t="shared" si="30"/>
        <v>742297.6913636364</v>
      </c>
      <c r="E293" s="726">
        <f t="shared" si="31"/>
        <v>28011.233636363639</v>
      </c>
      <c r="F293" s="726">
        <f t="shared" si="24"/>
        <v>714286.45772727276</v>
      </c>
      <c r="G293" s="673">
        <f t="shared" si="25"/>
        <v>728292.07454545458</v>
      </c>
      <c r="H293" s="721">
        <f>+J270*G293+E293</f>
        <v>139740.36949220876</v>
      </c>
      <c r="I293" s="727">
        <f>+J271*G293+E293</f>
        <v>139740.36949220876</v>
      </c>
      <c r="J293" s="724">
        <f t="shared" si="26"/>
        <v>0</v>
      </c>
      <c r="K293" s="724"/>
      <c r="L293" s="728"/>
      <c r="M293" s="724">
        <f t="shared" si="27"/>
        <v>0</v>
      </c>
      <c r="N293" s="728"/>
      <c r="O293" s="724">
        <f t="shared" si="28"/>
        <v>0</v>
      </c>
      <c r="P293" s="724">
        <f t="shared" si="29"/>
        <v>0</v>
      </c>
      <c r="Q293" s="674"/>
    </row>
    <row r="294" spans="2:17">
      <c r="B294" s="330"/>
      <c r="C294" s="720">
        <f>IF(D269="","-",+C293+1)</f>
        <v>2032</v>
      </c>
      <c r="D294" s="673">
        <f t="shared" si="30"/>
        <v>714286.45772727276</v>
      </c>
      <c r="E294" s="726">
        <f t="shared" si="31"/>
        <v>28011.233636363639</v>
      </c>
      <c r="F294" s="726">
        <f t="shared" si="24"/>
        <v>686275.22409090912</v>
      </c>
      <c r="G294" s="673">
        <f t="shared" si="25"/>
        <v>700280.84090909094</v>
      </c>
      <c r="H294" s="721">
        <f>+J270*G294+E294</f>
        <v>135443.09503621471</v>
      </c>
      <c r="I294" s="727">
        <f>+J271*G294+E294</f>
        <v>135443.09503621471</v>
      </c>
      <c r="J294" s="724">
        <f t="shared" si="26"/>
        <v>0</v>
      </c>
      <c r="K294" s="724"/>
      <c r="L294" s="728"/>
      <c r="M294" s="724">
        <f t="shared" si="27"/>
        <v>0</v>
      </c>
      <c r="N294" s="728"/>
      <c r="O294" s="724">
        <f t="shared" si="28"/>
        <v>0</v>
      </c>
      <c r="P294" s="724">
        <f t="shared" si="29"/>
        <v>0</v>
      </c>
      <c r="Q294" s="674"/>
    </row>
    <row r="295" spans="2:17">
      <c r="B295" s="330"/>
      <c r="C295" s="720">
        <f>IF(D269="","-",+C294+1)</f>
        <v>2033</v>
      </c>
      <c r="D295" s="673">
        <f t="shared" si="30"/>
        <v>686275.22409090912</v>
      </c>
      <c r="E295" s="726">
        <f t="shared" si="31"/>
        <v>28011.233636363639</v>
      </c>
      <c r="F295" s="726">
        <f t="shared" si="24"/>
        <v>658263.99045454548</v>
      </c>
      <c r="G295" s="673">
        <f t="shared" si="25"/>
        <v>672269.6072727273</v>
      </c>
      <c r="H295" s="721">
        <f>+J270*G295+E295</f>
        <v>131145.82058022069</v>
      </c>
      <c r="I295" s="727">
        <f>+J271*G295+E295</f>
        <v>131145.82058022069</v>
      </c>
      <c r="J295" s="724">
        <f t="shared" si="26"/>
        <v>0</v>
      </c>
      <c r="K295" s="724"/>
      <c r="L295" s="728"/>
      <c r="M295" s="724">
        <f t="shared" si="27"/>
        <v>0</v>
      </c>
      <c r="N295" s="728"/>
      <c r="O295" s="724">
        <f t="shared" si="28"/>
        <v>0</v>
      </c>
      <c r="P295" s="724">
        <f t="shared" si="29"/>
        <v>0</v>
      </c>
      <c r="Q295" s="674"/>
    </row>
    <row r="296" spans="2:17">
      <c r="B296" s="330"/>
      <c r="C296" s="720">
        <f>IF(D269="","-",+C295+1)</f>
        <v>2034</v>
      </c>
      <c r="D296" s="673">
        <f t="shared" si="30"/>
        <v>658263.99045454548</v>
      </c>
      <c r="E296" s="726">
        <f t="shared" si="31"/>
        <v>28011.233636363639</v>
      </c>
      <c r="F296" s="726">
        <f t="shared" si="24"/>
        <v>630252.75681818184</v>
      </c>
      <c r="G296" s="673">
        <f t="shared" si="25"/>
        <v>644258.37363636366</v>
      </c>
      <c r="H296" s="721">
        <f>+J270*G296+E296</f>
        <v>126848.54612422665</v>
      </c>
      <c r="I296" s="727">
        <f>+J271*G296+E296</f>
        <v>126848.54612422665</v>
      </c>
      <c r="J296" s="724">
        <f t="shared" si="26"/>
        <v>0</v>
      </c>
      <c r="K296" s="724"/>
      <c r="L296" s="728"/>
      <c r="M296" s="724">
        <f t="shared" si="27"/>
        <v>0</v>
      </c>
      <c r="N296" s="728"/>
      <c r="O296" s="724">
        <f t="shared" si="28"/>
        <v>0</v>
      </c>
      <c r="P296" s="724">
        <f t="shared" si="29"/>
        <v>0</v>
      </c>
      <c r="Q296" s="674"/>
    </row>
    <row r="297" spans="2:17">
      <c r="B297" s="330"/>
      <c r="C297" s="720">
        <f>IF(D269="","-",+C296+1)</f>
        <v>2035</v>
      </c>
      <c r="D297" s="673">
        <f t="shared" si="30"/>
        <v>630252.75681818184</v>
      </c>
      <c r="E297" s="726">
        <f t="shared" si="31"/>
        <v>28011.233636363639</v>
      </c>
      <c r="F297" s="726">
        <f t="shared" si="24"/>
        <v>602241.52318181819</v>
      </c>
      <c r="G297" s="673">
        <f t="shared" si="25"/>
        <v>616247.14</v>
      </c>
      <c r="H297" s="721">
        <f>+J270*G297+E297</f>
        <v>122551.2716682326</v>
      </c>
      <c r="I297" s="727">
        <f>+J271*G297+E297</f>
        <v>122551.2716682326</v>
      </c>
      <c r="J297" s="724">
        <f t="shared" si="26"/>
        <v>0</v>
      </c>
      <c r="K297" s="724"/>
      <c r="L297" s="728"/>
      <c r="M297" s="724">
        <f t="shared" si="27"/>
        <v>0</v>
      </c>
      <c r="N297" s="728"/>
      <c r="O297" s="724">
        <f t="shared" si="28"/>
        <v>0</v>
      </c>
      <c r="P297" s="724">
        <f t="shared" si="29"/>
        <v>0</v>
      </c>
      <c r="Q297" s="674"/>
    </row>
    <row r="298" spans="2:17">
      <c r="B298" s="330"/>
      <c r="C298" s="720">
        <f>IF(D269="","-",+C297+1)</f>
        <v>2036</v>
      </c>
      <c r="D298" s="673">
        <f t="shared" si="30"/>
        <v>602241.52318181819</v>
      </c>
      <c r="E298" s="726">
        <f t="shared" si="31"/>
        <v>28011.233636363639</v>
      </c>
      <c r="F298" s="726">
        <f t="shared" si="24"/>
        <v>574230.28954545455</v>
      </c>
      <c r="G298" s="673">
        <f t="shared" si="25"/>
        <v>588235.90636363637</v>
      </c>
      <c r="H298" s="721">
        <f>+J270*G298+E298</f>
        <v>118253.99721223855</v>
      </c>
      <c r="I298" s="727">
        <f>+J271*G298+E298</f>
        <v>118253.99721223855</v>
      </c>
      <c r="J298" s="724">
        <f t="shared" si="26"/>
        <v>0</v>
      </c>
      <c r="K298" s="724"/>
      <c r="L298" s="728"/>
      <c r="M298" s="724">
        <f t="shared" si="27"/>
        <v>0</v>
      </c>
      <c r="N298" s="728"/>
      <c r="O298" s="724">
        <f t="shared" si="28"/>
        <v>0</v>
      </c>
      <c r="P298" s="724">
        <f t="shared" si="29"/>
        <v>0</v>
      </c>
      <c r="Q298" s="674"/>
    </row>
    <row r="299" spans="2:17">
      <c r="B299" s="330"/>
      <c r="C299" s="720">
        <f>IF(D269="","-",+C298+1)</f>
        <v>2037</v>
      </c>
      <c r="D299" s="673">
        <f t="shared" si="30"/>
        <v>574230.28954545455</v>
      </c>
      <c r="E299" s="726">
        <f t="shared" si="31"/>
        <v>28011.233636363639</v>
      </c>
      <c r="F299" s="726">
        <f t="shared" si="24"/>
        <v>546219.05590909091</v>
      </c>
      <c r="G299" s="673">
        <f t="shared" si="25"/>
        <v>560224.67272727273</v>
      </c>
      <c r="H299" s="721">
        <f>+J270*G299+E299</f>
        <v>113956.72275624452</v>
      </c>
      <c r="I299" s="727">
        <f>+J271*G299+E299</f>
        <v>113956.72275624452</v>
      </c>
      <c r="J299" s="724">
        <f t="shared" si="26"/>
        <v>0</v>
      </c>
      <c r="K299" s="724"/>
      <c r="L299" s="728"/>
      <c r="M299" s="724">
        <f t="shared" si="27"/>
        <v>0</v>
      </c>
      <c r="N299" s="728"/>
      <c r="O299" s="724">
        <f t="shared" si="28"/>
        <v>0</v>
      </c>
      <c r="P299" s="724">
        <f t="shared" si="29"/>
        <v>0</v>
      </c>
      <c r="Q299" s="674"/>
    </row>
    <row r="300" spans="2:17">
      <c r="B300" s="330"/>
      <c r="C300" s="720">
        <f>IF(D269="","-",+C299+1)</f>
        <v>2038</v>
      </c>
      <c r="D300" s="673">
        <f t="shared" si="30"/>
        <v>546219.05590909091</v>
      </c>
      <c r="E300" s="726">
        <f t="shared" si="31"/>
        <v>28011.233636363639</v>
      </c>
      <c r="F300" s="726">
        <f t="shared" si="24"/>
        <v>518207.82227272727</v>
      </c>
      <c r="G300" s="673">
        <f t="shared" si="25"/>
        <v>532213.43909090909</v>
      </c>
      <c r="H300" s="721">
        <f>+J270*G300+E300</f>
        <v>109659.44830025047</v>
      </c>
      <c r="I300" s="727">
        <f>+J271*G300+E300</f>
        <v>109659.44830025047</v>
      </c>
      <c r="J300" s="724">
        <f t="shared" si="26"/>
        <v>0</v>
      </c>
      <c r="K300" s="724"/>
      <c r="L300" s="728"/>
      <c r="M300" s="724">
        <f t="shared" si="27"/>
        <v>0</v>
      </c>
      <c r="N300" s="728"/>
      <c r="O300" s="724">
        <f t="shared" si="28"/>
        <v>0</v>
      </c>
      <c r="P300" s="724">
        <f t="shared" si="29"/>
        <v>0</v>
      </c>
      <c r="Q300" s="674"/>
    </row>
    <row r="301" spans="2:17">
      <c r="B301" s="330"/>
      <c r="C301" s="720">
        <f>IF(D269="","-",+C300+1)</f>
        <v>2039</v>
      </c>
      <c r="D301" s="673">
        <f t="shared" si="30"/>
        <v>518207.82227272727</v>
      </c>
      <c r="E301" s="726">
        <f t="shared" si="31"/>
        <v>28011.233636363639</v>
      </c>
      <c r="F301" s="726">
        <f t="shared" si="24"/>
        <v>490196.58863636362</v>
      </c>
      <c r="G301" s="673">
        <f t="shared" si="25"/>
        <v>504202.20545454544</v>
      </c>
      <c r="H301" s="721">
        <f>+J270*G301+E301</f>
        <v>105362.17384425642</v>
      </c>
      <c r="I301" s="727">
        <f>+J271*G301+E301</f>
        <v>105362.17384425642</v>
      </c>
      <c r="J301" s="724">
        <f t="shared" si="26"/>
        <v>0</v>
      </c>
      <c r="K301" s="724"/>
      <c r="L301" s="728"/>
      <c r="M301" s="724">
        <f t="shared" si="27"/>
        <v>0</v>
      </c>
      <c r="N301" s="728"/>
      <c r="O301" s="724">
        <f t="shared" si="28"/>
        <v>0</v>
      </c>
      <c r="P301" s="724">
        <f t="shared" si="29"/>
        <v>0</v>
      </c>
      <c r="Q301" s="674"/>
    </row>
    <row r="302" spans="2:17">
      <c r="B302" s="330"/>
      <c r="C302" s="720">
        <f>IF(D269="","-",+C301+1)</f>
        <v>2040</v>
      </c>
      <c r="D302" s="673">
        <f t="shared" si="30"/>
        <v>490196.58863636362</v>
      </c>
      <c r="E302" s="726">
        <f t="shared" si="31"/>
        <v>28011.233636363639</v>
      </c>
      <c r="F302" s="726">
        <f t="shared" si="24"/>
        <v>462185.35499999998</v>
      </c>
      <c r="G302" s="673">
        <f t="shared" si="25"/>
        <v>476190.9718181818</v>
      </c>
      <c r="H302" s="721">
        <f>+J270*G302+E302</f>
        <v>101064.89938826238</v>
      </c>
      <c r="I302" s="727">
        <f>+J271*G302+E302</f>
        <v>101064.89938826238</v>
      </c>
      <c r="J302" s="724">
        <f t="shared" si="26"/>
        <v>0</v>
      </c>
      <c r="K302" s="724"/>
      <c r="L302" s="728"/>
      <c r="M302" s="724">
        <f t="shared" si="27"/>
        <v>0</v>
      </c>
      <c r="N302" s="728"/>
      <c r="O302" s="724">
        <f t="shared" si="28"/>
        <v>0</v>
      </c>
      <c r="P302" s="724">
        <f t="shared" si="29"/>
        <v>0</v>
      </c>
      <c r="Q302" s="674"/>
    </row>
    <row r="303" spans="2:17">
      <c r="B303" s="330"/>
      <c r="C303" s="720">
        <f>IF(D269="","-",+C302+1)</f>
        <v>2041</v>
      </c>
      <c r="D303" s="673">
        <f t="shared" si="30"/>
        <v>462185.35499999998</v>
      </c>
      <c r="E303" s="726">
        <f t="shared" si="31"/>
        <v>28011.233636363639</v>
      </c>
      <c r="F303" s="726">
        <f t="shared" si="24"/>
        <v>434174.12136363634</v>
      </c>
      <c r="G303" s="673">
        <f t="shared" si="25"/>
        <v>448179.73818181816</v>
      </c>
      <c r="H303" s="721">
        <f>+J270*G303+E303</f>
        <v>96767.624932268329</v>
      </c>
      <c r="I303" s="727">
        <f>+J271*G303+E303</f>
        <v>96767.624932268329</v>
      </c>
      <c r="J303" s="724">
        <f t="shared" si="26"/>
        <v>0</v>
      </c>
      <c r="K303" s="724"/>
      <c r="L303" s="728"/>
      <c r="M303" s="724">
        <f t="shared" si="27"/>
        <v>0</v>
      </c>
      <c r="N303" s="728"/>
      <c r="O303" s="724">
        <f t="shared" si="28"/>
        <v>0</v>
      </c>
      <c r="P303" s="724">
        <f t="shared" si="29"/>
        <v>0</v>
      </c>
      <c r="Q303" s="674"/>
    </row>
    <row r="304" spans="2:17">
      <c r="B304" s="330"/>
      <c r="C304" s="720">
        <f>IF(D269="","-",+C303+1)</f>
        <v>2042</v>
      </c>
      <c r="D304" s="673">
        <f t="shared" si="30"/>
        <v>434174.12136363634</v>
      </c>
      <c r="E304" s="726">
        <f t="shared" si="31"/>
        <v>28011.233636363639</v>
      </c>
      <c r="F304" s="726">
        <f t="shared" si="24"/>
        <v>406162.8877272727</v>
      </c>
      <c r="G304" s="673">
        <f t="shared" si="25"/>
        <v>420168.50454545452</v>
      </c>
      <c r="H304" s="721">
        <f>+J270*G304+E304</f>
        <v>92470.350476274281</v>
      </c>
      <c r="I304" s="727">
        <f>+J271*G304+E304</f>
        <v>92470.350476274281</v>
      </c>
      <c r="J304" s="724">
        <f t="shared" si="26"/>
        <v>0</v>
      </c>
      <c r="K304" s="724"/>
      <c r="L304" s="728"/>
      <c r="M304" s="724">
        <f t="shared" si="27"/>
        <v>0</v>
      </c>
      <c r="N304" s="728"/>
      <c r="O304" s="724">
        <f t="shared" si="28"/>
        <v>0</v>
      </c>
      <c r="P304" s="724">
        <f t="shared" si="29"/>
        <v>0</v>
      </c>
      <c r="Q304" s="674"/>
    </row>
    <row r="305" spans="2:17">
      <c r="B305" s="330"/>
      <c r="C305" s="720">
        <f>IF(D269="","-",+C304+1)</f>
        <v>2043</v>
      </c>
      <c r="D305" s="673">
        <f t="shared" si="30"/>
        <v>406162.8877272727</v>
      </c>
      <c r="E305" s="726">
        <f t="shared" si="31"/>
        <v>28011.233636363639</v>
      </c>
      <c r="F305" s="726">
        <f t="shared" si="24"/>
        <v>378151.65409090905</v>
      </c>
      <c r="G305" s="673">
        <f t="shared" si="25"/>
        <v>392157.27090909088</v>
      </c>
      <c r="H305" s="721">
        <f>+J270*G305+E305</f>
        <v>88173.076020280248</v>
      </c>
      <c r="I305" s="727">
        <f>+J271*G305+E305</f>
        <v>88173.076020280248</v>
      </c>
      <c r="J305" s="724">
        <f t="shared" si="26"/>
        <v>0</v>
      </c>
      <c r="K305" s="724"/>
      <c r="L305" s="728"/>
      <c r="M305" s="724">
        <f t="shared" si="27"/>
        <v>0</v>
      </c>
      <c r="N305" s="728"/>
      <c r="O305" s="724">
        <f t="shared" si="28"/>
        <v>0</v>
      </c>
      <c r="P305" s="724">
        <f t="shared" si="29"/>
        <v>0</v>
      </c>
      <c r="Q305" s="674"/>
    </row>
    <row r="306" spans="2:17">
      <c r="B306" s="330"/>
      <c r="C306" s="720">
        <f>IF(D269="","-",+C305+1)</f>
        <v>2044</v>
      </c>
      <c r="D306" s="673">
        <f t="shared" si="30"/>
        <v>378151.65409090905</v>
      </c>
      <c r="E306" s="726">
        <f t="shared" si="31"/>
        <v>28011.233636363639</v>
      </c>
      <c r="F306" s="726">
        <f t="shared" si="24"/>
        <v>350140.42045454541</v>
      </c>
      <c r="G306" s="673">
        <f t="shared" si="25"/>
        <v>364146.03727272723</v>
      </c>
      <c r="H306" s="721">
        <f>+J270*G306+E306</f>
        <v>83875.801564286201</v>
      </c>
      <c r="I306" s="727">
        <f>+J271*G306+E306</f>
        <v>83875.801564286201</v>
      </c>
      <c r="J306" s="724">
        <f t="shared" si="26"/>
        <v>0</v>
      </c>
      <c r="K306" s="724"/>
      <c r="L306" s="728"/>
      <c r="M306" s="724">
        <f t="shared" si="27"/>
        <v>0</v>
      </c>
      <c r="N306" s="728"/>
      <c r="O306" s="724">
        <f t="shared" si="28"/>
        <v>0</v>
      </c>
      <c r="P306" s="724">
        <f t="shared" si="29"/>
        <v>0</v>
      </c>
      <c r="Q306" s="674"/>
    </row>
    <row r="307" spans="2:17">
      <c r="B307" s="330"/>
      <c r="C307" s="720">
        <f>IF(D269="","-",+C306+1)</f>
        <v>2045</v>
      </c>
      <c r="D307" s="673">
        <f t="shared" si="30"/>
        <v>350140.42045454541</v>
      </c>
      <c r="E307" s="726">
        <f t="shared" si="31"/>
        <v>28011.233636363639</v>
      </c>
      <c r="F307" s="726">
        <f t="shared" si="24"/>
        <v>322129.18681818177</v>
      </c>
      <c r="G307" s="673">
        <f t="shared" si="25"/>
        <v>336134.80363636359</v>
      </c>
      <c r="H307" s="721">
        <f>+J270*G307+E307</f>
        <v>79578.527108292154</v>
      </c>
      <c r="I307" s="727">
        <f>+J271*G307+E307</f>
        <v>79578.527108292154</v>
      </c>
      <c r="J307" s="724">
        <f t="shared" si="26"/>
        <v>0</v>
      </c>
      <c r="K307" s="724"/>
      <c r="L307" s="728"/>
      <c r="M307" s="724">
        <f t="shared" si="27"/>
        <v>0</v>
      </c>
      <c r="N307" s="728"/>
      <c r="O307" s="724">
        <f t="shared" si="28"/>
        <v>0</v>
      </c>
      <c r="P307" s="724">
        <f t="shared" si="29"/>
        <v>0</v>
      </c>
      <c r="Q307" s="674"/>
    </row>
    <row r="308" spans="2:17">
      <c r="B308" s="330"/>
      <c r="C308" s="720">
        <f>IF(D269="","-",+C307+1)</f>
        <v>2046</v>
      </c>
      <c r="D308" s="673">
        <f t="shared" si="30"/>
        <v>322129.18681818177</v>
      </c>
      <c r="E308" s="726">
        <f t="shared" si="31"/>
        <v>28011.233636363639</v>
      </c>
      <c r="F308" s="726">
        <f t="shared" si="24"/>
        <v>294117.95318181813</v>
      </c>
      <c r="G308" s="673">
        <f t="shared" si="25"/>
        <v>308123.56999999995</v>
      </c>
      <c r="H308" s="721">
        <f>+J270*G308+E308</f>
        <v>75281.252652298106</v>
      </c>
      <c r="I308" s="727">
        <f>+J271*G308+E308</f>
        <v>75281.252652298106</v>
      </c>
      <c r="J308" s="724">
        <f t="shared" si="26"/>
        <v>0</v>
      </c>
      <c r="K308" s="724"/>
      <c r="L308" s="728"/>
      <c r="M308" s="724">
        <f t="shared" si="27"/>
        <v>0</v>
      </c>
      <c r="N308" s="728"/>
      <c r="O308" s="724">
        <f t="shared" si="28"/>
        <v>0</v>
      </c>
      <c r="P308" s="724">
        <f t="shared" si="29"/>
        <v>0</v>
      </c>
      <c r="Q308" s="674"/>
    </row>
    <row r="309" spans="2:17">
      <c r="B309" s="330"/>
      <c r="C309" s="720">
        <f>IF(D269="","-",+C308+1)</f>
        <v>2047</v>
      </c>
      <c r="D309" s="673">
        <f t="shared" si="30"/>
        <v>294117.95318181813</v>
      </c>
      <c r="E309" s="726">
        <f t="shared" si="31"/>
        <v>28011.233636363639</v>
      </c>
      <c r="F309" s="726">
        <f t="shared" si="24"/>
        <v>266106.71954545449</v>
      </c>
      <c r="G309" s="673">
        <f t="shared" si="25"/>
        <v>280112.33636363631</v>
      </c>
      <c r="H309" s="721">
        <f>+J270*G309+E309</f>
        <v>70983.978196304059</v>
      </c>
      <c r="I309" s="727">
        <f>+J271*G309+E309</f>
        <v>70983.978196304059</v>
      </c>
      <c r="J309" s="724">
        <f t="shared" si="26"/>
        <v>0</v>
      </c>
      <c r="K309" s="724"/>
      <c r="L309" s="728"/>
      <c r="M309" s="724">
        <f t="shared" si="27"/>
        <v>0</v>
      </c>
      <c r="N309" s="728"/>
      <c r="O309" s="724">
        <f t="shared" si="28"/>
        <v>0</v>
      </c>
      <c r="P309" s="724">
        <f t="shared" si="29"/>
        <v>0</v>
      </c>
      <c r="Q309" s="674"/>
    </row>
    <row r="310" spans="2:17">
      <c r="B310" s="330"/>
      <c r="C310" s="720">
        <f>IF(D269="","-",+C309+1)</f>
        <v>2048</v>
      </c>
      <c r="D310" s="673">
        <f t="shared" si="30"/>
        <v>266106.71954545449</v>
      </c>
      <c r="E310" s="726">
        <f t="shared" si="31"/>
        <v>28011.233636363639</v>
      </c>
      <c r="F310" s="726">
        <f t="shared" si="24"/>
        <v>238095.48590909084</v>
      </c>
      <c r="G310" s="673">
        <f t="shared" si="25"/>
        <v>252101.10272727266</v>
      </c>
      <c r="H310" s="721">
        <f>+J270*G310+E310</f>
        <v>66686.703740310026</v>
      </c>
      <c r="I310" s="727">
        <f>+J271*G310+E310</f>
        <v>66686.703740310026</v>
      </c>
      <c r="J310" s="724">
        <f t="shared" si="26"/>
        <v>0</v>
      </c>
      <c r="K310" s="724"/>
      <c r="L310" s="728"/>
      <c r="M310" s="724">
        <f t="shared" si="27"/>
        <v>0</v>
      </c>
      <c r="N310" s="728"/>
      <c r="O310" s="724">
        <f t="shared" si="28"/>
        <v>0</v>
      </c>
      <c r="P310" s="724">
        <f t="shared" si="29"/>
        <v>0</v>
      </c>
      <c r="Q310" s="674"/>
    </row>
    <row r="311" spans="2:17">
      <c r="B311" s="330"/>
      <c r="C311" s="720">
        <f>IF(D269="","-",+C310+1)</f>
        <v>2049</v>
      </c>
      <c r="D311" s="673">
        <f t="shared" si="30"/>
        <v>238095.48590909084</v>
      </c>
      <c r="E311" s="726">
        <f t="shared" si="31"/>
        <v>28011.233636363639</v>
      </c>
      <c r="F311" s="726">
        <f t="shared" si="24"/>
        <v>210084.2522727272</v>
      </c>
      <c r="G311" s="673">
        <f t="shared" si="25"/>
        <v>224089.86909090902</v>
      </c>
      <c r="H311" s="721">
        <f>+J270*G311+E311</f>
        <v>62389.429284315978</v>
      </c>
      <c r="I311" s="727">
        <f>+J271*G311+E311</f>
        <v>62389.429284315978</v>
      </c>
      <c r="J311" s="724">
        <f t="shared" si="26"/>
        <v>0</v>
      </c>
      <c r="K311" s="724"/>
      <c r="L311" s="728"/>
      <c r="M311" s="724">
        <f t="shared" si="27"/>
        <v>0</v>
      </c>
      <c r="N311" s="728"/>
      <c r="O311" s="724">
        <f t="shared" si="28"/>
        <v>0</v>
      </c>
      <c r="P311" s="724">
        <f t="shared" si="29"/>
        <v>0</v>
      </c>
      <c r="Q311" s="674"/>
    </row>
    <row r="312" spans="2:17">
      <c r="B312" s="330"/>
      <c r="C312" s="720">
        <f>IF(D269="","-",+C311+1)</f>
        <v>2050</v>
      </c>
      <c r="D312" s="673">
        <f t="shared" si="30"/>
        <v>210084.2522727272</v>
      </c>
      <c r="E312" s="726">
        <f t="shared" si="31"/>
        <v>28011.233636363639</v>
      </c>
      <c r="F312" s="726">
        <f t="shared" si="24"/>
        <v>182073.01863636356</v>
      </c>
      <c r="G312" s="673">
        <f t="shared" si="25"/>
        <v>196078.63545454538</v>
      </c>
      <c r="H312" s="721">
        <f>+J270*G312+E312</f>
        <v>58092.154828321931</v>
      </c>
      <c r="I312" s="727">
        <f>+J271*G312+E312</f>
        <v>58092.154828321931</v>
      </c>
      <c r="J312" s="724">
        <f t="shared" si="26"/>
        <v>0</v>
      </c>
      <c r="K312" s="724"/>
      <c r="L312" s="728"/>
      <c r="M312" s="724">
        <f t="shared" si="27"/>
        <v>0</v>
      </c>
      <c r="N312" s="728"/>
      <c r="O312" s="724">
        <f t="shared" si="28"/>
        <v>0</v>
      </c>
      <c r="P312" s="724">
        <f t="shared" si="29"/>
        <v>0</v>
      </c>
      <c r="Q312" s="674"/>
    </row>
    <row r="313" spans="2:17">
      <c r="B313" s="330"/>
      <c r="C313" s="720">
        <f>IF(D269="","-",+C312+1)</f>
        <v>2051</v>
      </c>
      <c r="D313" s="673">
        <f t="shared" si="30"/>
        <v>182073.01863636356</v>
      </c>
      <c r="E313" s="726">
        <f t="shared" si="31"/>
        <v>28011.233636363639</v>
      </c>
      <c r="F313" s="726">
        <f t="shared" si="24"/>
        <v>154061.78499999992</v>
      </c>
      <c r="G313" s="673">
        <f t="shared" si="25"/>
        <v>168067.40181818174</v>
      </c>
      <c r="H313" s="721">
        <f>+J270*G313+E313</f>
        <v>53794.880372327883</v>
      </c>
      <c r="I313" s="727">
        <f>+J271*G313+E313</f>
        <v>53794.880372327883</v>
      </c>
      <c r="J313" s="724">
        <f t="shared" si="26"/>
        <v>0</v>
      </c>
      <c r="K313" s="724"/>
      <c r="L313" s="728"/>
      <c r="M313" s="724">
        <f t="shared" si="27"/>
        <v>0</v>
      </c>
      <c r="N313" s="728"/>
      <c r="O313" s="724">
        <f t="shared" si="28"/>
        <v>0</v>
      </c>
      <c r="P313" s="724">
        <f t="shared" si="29"/>
        <v>0</v>
      </c>
      <c r="Q313" s="674"/>
    </row>
    <row r="314" spans="2:17">
      <c r="B314" s="330"/>
      <c r="C314" s="720">
        <f>IF(D269="","-",+C313+1)</f>
        <v>2052</v>
      </c>
      <c r="D314" s="673">
        <f t="shared" si="30"/>
        <v>154061.78499999992</v>
      </c>
      <c r="E314" s="726">
        <f t="shared" si="31"/>
        <v>28011.233636363639</v>
      </c>
      <c r="F314" s="726">
        <f t="shared" si="24"/>
        <v>126050.55136363627</v>
      </c>
      <c r="G314" s="673">
        <f t="shared" si="25"/>
        <v>140056.1681818181</v>
      </c>
      <c r="H314" s="721">
        <f>+J270*G314+E314</f>
        <v>49497.605916333843</v>
      </c>
      <c r="I314" s="727">
        <f>+J271*G314+E314</f>
        <v>49497.605916333843</v>
      </c>
      <c r="J314" s="724">
        <f t="shared" si="26"/>
        <v>0</v>
      </c>
      <c r="K314" s="724"/>
      <c r="L314" s="728"/>
      <c r="M314" s="724">
        <f t="shared" si="27"/>
        <v>0</v>
      </c>
      <c r="N314" s="728"/>
      <c r="O314" s="724">
        <f t="shared" si="28"/>
        <v>0</v>
      </c>
      <c r="P314" s="724">
        <f t="shared" si="29"/>
        <v>0</v>
      </c>
      <c r="Q314" s="674"/>
    </row>
    <row r="315" spans="2:17">
      <c r="B315" s="330"/>
      <c r="C315" s="720">
        <f>IF(D269="","-",+C314+1)</f>
        <v>2053</v>
      </c>
      <c r="D315" s="673">
        <f t="shared" si="30"/>
        <v>126050.55136363627</v>
      </c>
      <c r="E315" s="726">
        <f t="shared" si="31"/>
        <v>28011.233636363639</v>
      </c>
      <c r="F315" s="726">
        <f t="shared" si="24"/>
        <v>98039.317727272632</v>
      </c>
      <c r="G315" s="673">
        <f t="shared" si="25"/>
        <v>112044.93454545445</v>
      </c>
      <c r="H315" s="721">
        <f>+J270*G315+E315</f>
        <v>45200.331460339803</v>
      </c>
      <c r="I315" s="727">
        <f>+J271*G315+E315</f>
        <v>45200.331460339803</v>
      </c>
      <c r="J315" s="724">
        <f t="shared" si="26"/>
        <v>0</v>
      </c>
      <c r="K315" s="724"/>
      <c r="L315" s="728"/>
      <c r="M315" s="724">
        <f t="shared" si="27"/>
        <v>0</v>
      </c>
      <c r="N315" s="728"/>
      <c r="O315" s="724">
        <f t="shared" si="28"/>
        <v>0</v>
      </c>
      <c r="P315" s="724">
        <f t="shared" si="29"/>
        <v>0</v>
      </c>
      <c r="Q315" s="674"/>
    </row>
    <row r="316" spans="2:17">
      <c r="B316" s="330"/>
      <c r="C316" s="720">
        <f>IF(D269="","-",+C315+1)</f>
        <v>2054</v>
      </c>
      <c r="D316" s="673">
        <f t="shared" si="30"/>
        <v>98039.317727272632</v>
      </c>
      <c r="E316" s="726">
        <f t="shared" si="31"/>
        <v>28011.233636363639</v>
      </c>
      <c r="F316" s="726">
        <f t="shared" si="24"/>
        <v>70028.084090908989</v>
      </c>
      <c r="G316" s="673">
        <f t="shared" si="25"/>
        <v>84033.70090909081</v>
      </c>
      <c r="H316" s="721">
        <f>+J270*G316+E316</f>
        <v>40903.057004345756</v>
      </c>
      <c r="I316" s="727">
        <f>+J271*G316+E316</f>
        <v>40903.057004345756</v>
      </c>
      <c r="J316" s="724">
        <f t="shared" si="26"/>
        <v>0</v>
      </c>
      <c r="K316" s="724"/>
      <c r="L316" s="728"/>
      <c r="M316" s="724">
        <f t="shared" si="27"/>
        <v>0</v>
      </c>
      <c r="N316" s="728"/>
      <c r="O316" s="724">
        <f t="shared" si="28"/>
        <v>0</v>
      </c>
      <c r="P316" s="724">
        <f t="shared" si="29"/>
        <v>0</v>
      </c>
      <c r="Q316" s="674"/>
    </row>
    <row r="317" spans="2:17">
      <c r="B317" s="330"/>
      <c r="C317" s="720">
        <f>IF(D269="","-",+C316+1)</f>
        <v>2055</v>
      </c>
      <c r="D317" s="673">
        <f t="shared" si="30"/>
        <v>70028.084090908989</v>
      </c>
      <c r="E317" s="726">
        <f t="shared" si="31"/>
        <v>28011.233636363639</v>
      </c>
      <c r="F317" s="726">
        <f t="shared" si="24"/>
        <v>42016.850454545347</v>
      </c>
      <c r="G317" s="673">
        <f t="shared" si="25"/>
        <v>56022.467272727168</v>
      </c>
      <c r="H317" s="721">
        <f>+J270*G317+E317</f>
        <v>36605.782548351708</v>
      </c>
      <c r="I317" s="727">
        <f>+J271*G317+E317</f>
        <v>36605.782548351708</v>
      </c>
      <c r="J317" s="724">
        <f t="shared" si="26"/>
        <v>0</v>
      </c>
      <c r="K317" s="724"/>
      <c r="L317" s="728"/>
      <c r="M317" s="724">
        <f t="shared" si="27"/>
        <v>0</v>
      </c>
      <c r="N317" s="728"/>
      <c r="O317" s="724">
        <f t="shared" si="28"/>
        <v>0</v>
      </c>
      <c r="P317" s="724">
        <f t="shared" si="29"/>
        <v>0</v>
      </c>
      <c r="Q317" s="674"/>
    </row>
    <row r="318" spans="2:17">
      <c r="B318" s="330"/>
      <c r="C318" s="720">
        <f>IF(D269="","-",+C317+1)</f>
        <v>2056</v>
      </c>
      <c r="D318" s="673">
        <f t="shared" si="30"/>
        <v>42016.850454545347</v>
      </c>
      <c r="E318" s="726">
        <f t="shared" si="31"/>
        <v>28011.233636363639</v>
      </c>
      <c r="F318" s="726">
        <f t="shared" si="24"/>
        <v>14005.616818181708</v>
      </c>
      <c r="G318" s="673">
        <f t="shared" si="25"/>
        <v>28011.233636363526</v>
      </c>
      <c r="H318" s="721">
        <f>+J270*G318+E318</f>
        <v>32308.508092357664</v>
      </c>
      <c r="I318" s="727">
        <f>+J271*G318+E318</f>
        <v>32308.508092357664</v>
      </c>
      <c r="J318" s="724">
        <f t="shared" si="26"/>
        <v>0</v>
      </c>
      <c r="K318" s="724"/>
      <c r="L318" s="728"/>
      <c r="M318" s="724">
        <f t="shared" si="27"/>
        <v>0</v>
      </c>
      <c r="N318" s="728"/>
      <c r="O318" s="724">
        <f t="shared" si="28"/>
        <v>0</v>
      </c>
      <c r="P318" s="724">
        <f t="shared" si="29"/>
        <v>0</v>
      </c>
      <c r="Q318" s="674"/>
    </row>
    <row r="319" spans="2:17">
      <c r="B319" s="330"/>
      <c r="C319" s="720">
        <f>IF(D269="","-",+C318+1)</f>
        <v>2057</v>
      </c>
      <c r="D319" s="673">
        <f t="shared" si="30"/>
        <v>14005.616818181708</v>
      </c>
      <c r="E319" s="726">
        <f t="shared" si="31"/>
        <v>14005.616818181708</v>
      </c>
      <c r="F319" s="726">
        <f t="shared" si="24"/>
        <v>0</v>
      </c>
      <c r="G319" s="673">
        <f t="shared" si="25"/>
        <v>7002.8084090908542</v>
      </c>
      <c r="H319" s="721">
        <f>+J270*G319+E319</f>
        <v>15079.935432180211</v>
      </c>
      <c r="I319" s="727">
        <f>+J271*G319+E319</f>
        <v>15079.935432180211</v>
      </c>
      <c r="J319" s="724">
        <f t="shared" si="26"/>
        <v>0</v>
      </c>
      <c r="K319" s="724"/>
      <c r="L319" s="728"/>
      <c r="M319" s="724">
        <f t="shared" si="27"/>
        <v>0</v>
      </c>
      <c r="N319" s="728"/>
      <c r="O319" s="724">
        <f t="shared" si="28"/>
        <v>0</v>
      </c>
      <c r="P319" s="724">
        <f t="shared" si="29"/>
        <v>0</v>
      </c>
      <c r="Q319" s="674"/>
    </row>
    <row r="320" spans="2:17">
      <c r="B320" s="330"/>
      <c r="C320" s="720">
        <f>IF(D269="","-",+C319+1)</f>
        <v>2058</v>
      </c>
      <c r="D320" s="673">
        <f t="shared" si="30"/>
        <v>0</v>
      </c>
      <c r="E320" s="726">
        <f t="shared" si="31"/>
        <v>0</v>
      </c>
      <c r="F320" s="726">
        <f t="shared" si="24"/>
        <v>0</v>
      </c>
      <c r="G320" s="673">
        <f t="shared" si="25"/>
        <v>0</v>
      </c>
      <c r="H320" s="721">
        <f>+J270*G320+E320</f>
        <v>0</v>
      </c>
      <c r="I320" s="727">
        <f>+J271*G320+E320</f>
        <v>0</v>
      </c>
      <c r="J320" s="724">
        <f t="shared" si="26"/>
        <v>0</v>
      </c>
      <c r="K320" s="724"/>
      <c r="L320" s="728"/>
      <c r="M320" s="724">
        <f t="shared" si="27"/>
        <v>0</v>
      </c>
      <c r="N320" s="728"/>
      <c r="O320" s="724">
        <f t="shared" si="28"/>
        <v>0</v>
      </c>
      <c r="P320" s="724">
        <f t="shared" si="29"/>
        <v>0</v>
      </c>
      <c r="Q320" s="674"/>
    </row>
    <row r="321" spans="2:17">
      <c r="B321" s="330"/>
      <c r="C321" s="720">
        <f>IF(D269="","-",+C320+1)</f>
        <v>2059</v>
      </c>
      <c r="D321" s="673">
        <f t="shared" si="30"/>
        <v>0</v>
      </c>
      <c r="E321" s="726">
        <f t="shared" si="31"/>
        <v>0</v>
      </c>
      <c r="F321" s="726">
        <f t="shared" si="24"/>
        <v>0</v>
      </c>
      <c r="G321" s="673">
        <f t="shared" si="25"/>
        <v>0</v>
      </c>
      <c r="H321" s="721">
        <f>+J270*G321+E321</f>
        <v>0</v>
      </c>
      <c r="I321" s="727">
        <f>+J271*G321+E321</f>
        <v>0</v>
      </c>
      <c r="J321" s="724">
        <f t="shared" si="26"/>
        <v>0</v>
      </c>
      <c r="K321" s="724"/>
      <c r="L321" s="728"/>
      <c r="M321" s="724">
        <f t="shared" si="27"/>
        <v>0</v>
      </c>
      <c r="N321" s="728"/>
      <c r="O321" s="724">
        <f t="shared" si="28"/>
        <v>0</v>
      </c>
      <c r="P321" s="724">
        <f t="shared" si="29"/>
        <v>0</v>
      </c>
      <c r="Q321" s="674"/>
    </row>
    <row r="322" spans="2:17">
      <c r="B322" s="330"/>
      <c r="C322" s="720">
        <f>IF(D269="","-",+C321+1)</f>
        <v>2060</v>
      </c>
      <c r="D322" s="673">
        <f t="shared" si="30"/>
        <v>0</v>
      </c>
      <c r="E322" s="726">
        <f t="shared" si="31"/>
        <v>0</v>
      </c>
      <c r="F322" s="726">
        <f t="shared" si="24"/>
        <v>0</v>
      </c>
      <c r="G322" s="673">
        <f t="shared" si="25"/>
        <v>0</v>
      </c>
      <c r="H322" s="721">
        <f>+J270*G322+E322</f>
        <v>0</v>
      </c>
      <c r="I322" s="727">
        <f>+J271*G322+E322</f>
        <v>0</v>
      </c>
      <c r="J322" s="724">
        <f t="shared" si="26"/>
        <v>0</v>
      </c>
      <c r="K322" s="724"/>
      <c r="L322" s="728"/>
      <c r="M322" s="724">
        <f t="shared" si="27"/>
        <v>0</v>
      </c>
      <c r="N322" s="728"/>
      <c r="O322" s="724">
        <f t="shared" si="28"/>
        <v>0</v>
      </c>
      <c r="P322" s="724">
        <f t="shared" si="29"/>
        <v>0</v>
      </c>
      <c r="Q322" s="674"/>
    </row>
    <row r="323" spans="2:17">
      <c r="B323" s="330"/>
      <c r="C323" s="720">
        <f>IF(D269="","-",+C322+1)</f>
        <v>2061</v>
      </c>
      <c r="D323" s="673">
        <f t="shared" si="30"/>
        <v>0</v>
      </c>
      <c r="E323" s="726">
        <f t="shared" si="31"/>
        <v>0</v>
      </c>
      <c r="F323" s="726">
        <f t="shared" si="24"/>
        <v>0</v>
      </c>
      <c r="G323" s="673">
        <f t="shared" si="25"/>
        <v>0</v>
      </c>
      <c r="H323" s="721">
        <f>+J270*G323+E323</f>
        <v>0</v>
      </c>
      <c r="I323" s="727">
        <f>+J271*G323+E323</f>
        <v>0</v>
      </c>
      <c r="J323" s="724">
        <f t="shared" si="26"/>
        <v>0</v>
      </c>
      <c r="K323" s="724"/>
      <c r="L323" s="728"/>
      <c r="M323" s="724">
        <f t="shared" si="27"/>
        <v>0</v>
      </c>
      <c r="N323" s="728"/>
      <c r="O323" s="724">
        <f t="shared" si="28"/>
        <v>0</v>
      </c>
      <c r="P323" s="724">
        <f t="shared" si="29"/>
        <v>0</v>
      </c>
      <c r="Q323" s="674"/>
    </row>
    <row r="324" spans="2:17">
      <c r="B324" s="330"/>
      <c r="C324" s="720">
        <f>IF(D269="","-",+C323+1)</f>
        <v>2062</v>
      </c>
      <c r="D324" s="673">
        <f t="shared" si="30"/>
        <v>0</v>
      </c>
      <c r="E324" s="726">
        <f t="shared" si="31"/>
        <v>0</v>
      </c>
      <c r="F324" s="726">
        <f t="shared" si="24"/>
        <v>0</v>
      </c>
      <c r="G324" s="673">
        <f t="shared" si="25"/>
        <v>0</v>
      </c>
      <c r="H324" s="721">
        <f>+J270*G324+E324</f>
        <v>0</v>
      </c>
      <c r="I324" s="727">
        <f>+J271*G324+E324</f>
        <v>0</v>
      </c>
      <c r="J324" s="724">
        <f t="shared" si="26"/>
        <v>0</v>
      </c>
      <c r="K324" s="724"/>
      <c r="L324" s="728"/>
      <c r="M324" s="724">
        <f t="shared" si="27"/>
        <v>0</v>
      </c>
      <c r="N324" s="728"/>
      <c r="O324" s="724">
        <f t="shared" si="28"/>
        <v>0</v>
      </c>
      <c r="P324" s="724">
        <f t="shared" si="29"/>
        <v>0</v>
      </c>
      <c r="Q324" s="674"/>
    </row>
    <row r="325" spans="2:17">
      <c r="B325" s="330"/>
      <c r="C325" s="720">
        <f>IF(D269="","-",+C324+1)</f>
        <v>2063</v>
      </c>
      <c r="D325" s="673">
        <f t="shared" si="30"/>
        <v>0</v>
      </c>
      <c r="E325" s="726">
        <f t="shared" si="31"/>
        <v>0</v>
      </c>
      <c r="F325" s="726">
        <f t="shared" si="24"/>
        <v>0</v>
      </c>
      <c r="G325" s="673">
        <f t="shared" si="25"/>
        <v>0</v>
      </c>
      <c r="H325" s="721">
        <f>+J270*G325+E325</f>
        <v>0</v>
      </c>
      <c r="I325" s="727">
        <f>+J271*G325+E325</f>
        <v>0</v>
      </c>
      <c r="J325" s="724">
        <f t="shared" si="26"/>
        <v>0</v>
      </c>
      <c r="K325" s="724"/>
      <c r="L325" s="728"/>
      <c r="M325" s="724">
        <f t="shared" si="27"/>
        <v>0</v>
      </c>
      <c r="N325" s="728"/>
      <c r="O325" s="724">
        <f t="shared" si="28"/>
        <v>0</v>
      </c>
      <c r="P325" s="724">
        <f t="shared" si="29"/>
        <v>0</v>
      </c>
      <c r="Q325" s="674"/>
    </row>
    <row r="326" spans="2:17">
      <c r="B326" s="330"/>
      <c r="C326" s="720">
        <f>IF(D269="","-",+C325+1)</f>
        <v>2064</v>
      </c>
      <c r="D326" s="673">
        <f t="shared" si="30"/>
        <v>0</v>
      </c>
      <c r="E326" s="726">
        <f t="shared" si="31"/>
        <v>0</v>
      </c>
      <c r="F326" s="726">
        <f t="shared" si="24"/>
        <v>0</v>
      </c>
      <c r="G326" s="673">
        <f t="shared" si="25"/>
        <v>0</v>
      </c>
      <c r="H326" s="721">
        <f>+J270*G326+E326</f>
        <v>0</v>
      </c>
      <c r="I326" s="727">
        <f>+J271*G326+E326</f>
        <v>0</v>
      </c>
      <c r="J326" s="724">
        <f t="shared" si="26"/>
        <v>0</v>
      </c>
      <c r="K326" s="724"/>
      <c r="L326" s="728"/>
      <c r="M326" s="724">
        <f t="shared" si="27"/>
        <v>0</v>
      </c>
      <c r="N326" s="728"/>
      <c r="O326" s="724">
        <f t="shared" si="28"/>
        <v>0</v>
      </c>
      <c r="P326" s="724">
        <f t="shared" si="29"/>
        <v>0</v>
      </c>
      <c r="Q326" s="674"/>
    </row>
    <row r="327" spans="2:17">
      <c r="B327" s="330"/>
      <c r="C327" s="720">
        <f>IF(D269="","-",+C326+1)</f>
        <v>2065</v>
      </c>
      <c r="D327" s="673">
        <f t="shared" si="30"/>
        <v>0</v>
      </c>
      <c r="E327" s="726">
        <f t="shared" si="31"/>
        <v>0</v>
      </c>
      <c r="F327" s="726">
        <f t="shared" si="24"/>
        <v>0</v>
      </c>
      <c r="G327" s="673">
        <f t="shared" si="25"/>
        <v>0</v>
      </c>
      <c r="H327" s="721">
        <f>+J270*G327+E327</f>
        <v>0</v>
      </c>
      <c r="I327" s="727">
        <f>+J271*G327+E327</f>
        <v>0</v>
      </c>
      <c r="J327" s="724">
        <f t="shared" si="26"/>
        <v>0</v>
      </c>
      <c r="K327" s="724"/>
      <c r="L327" s="728"/>
      <c r="M327" s="724">
        <f t="shared" si="27"/>
        <v>0</v>
      </c>
      <c r="N327" s="728"/>
      <c r="O327" s="724">
        <f t="shared" si="28"/>
        <v>0</v>
      </c>
      <c r="P327" s="724">
        <f t="shared" si="29"/>
        <v>0</v>
      </c>
      <c r="Q327" s="674"/>
    </row>
    <row r="328" spans="2:17">
      <c r="B328" s="330"/>
      <c r="C328" s="720">
        <f>IF(D269="","-",+C327+1)</f>
        <v>2066</v>
      </c>
      <c r="D328" s="673">
        <f t="shared" si="30"/>
        <v>0</v>
      </c>
      <c r="E328" s="726">
        <f t="shared" si="31"/>
        <v>0</v>
      </c>
      <c r="F328" s="726">
        <f t="shared" si="24"/>
        <v>0</v>
      </c>
      <c r="G328" s="673">
        <f t="shared" si="25"/>
        <v>0</v>
      </c>
      <c r="H328" s="721">
        <f>+J270*G328+E328</f>
        <v>0</v>
      </c>
      <c r="I328" s="727">
        <f>+J271*G328+E328</f>
        <v>0</v>
      </c>
      <c r="J328" s="724">
        <f t="shared" si="26"/>
        <v>0</v>
      </c>
      <c r="K328" s="724"/>
      <c r="L328" s="728"/>
      <c r="M328" s="724">
        <f t="shared" si="27"/>
        <v>0</v>
      </c>
      <c r="N328" s="728"/>
      <c r="O328" s="724">
        <f t="shared" si="28"/>
        <v>0</v>
      </c>
      <c r="P328" s="724">
        <f t="shared" si="29"/>
        <v>0</v>
      </c>
      <c r="Q328" s="674"/>
    </row>
    <row r="329" spans="2:17">
      <c r="B329" s="330"/>
      <c r="C329" s="720">
        <f>IF(D269="","-",+C328+1)</f>
        <v>2067</v>
      </c>
      <c r="D329" s="673">
        <f t="shared" si="30"/>
        <v>0</v>
      </c>
      <c r="E329" s="726">
        <f t="shared" si="31"/>
        <v>0</v>
      </c>
      <c r="F329" s="726">
        <f t="shared" si="24"/>
        <v>0</v>
      </c>
      <c r="G329" s="673">
        <f t="shared" si="25"/>
        <v>0</v>
      </c>
      <c r="H329" s="721">
        <f>+J270*G329+E329</f>
        <v>0</v>
      </c>
      <c r="I329" s="727">
        <f>+J271*G329+E329</f>
        <v>0</v>
      </c>
      <c r="J329" s="724">
        <f t="shared" si="26"/>
        <v>0</v>
      </c>
      <c r="K329" s="724"/>
      <c r="L329" s="728"/>
      <c r="M329" s="724">
        <f t="shared" si="27"/>
        <v>0</v>
      </c>
      <c r="N329" s="728"/>
      <c r="O329" s="724">
        <f t="shared" si="28"/>
        <v>0</v>
      </c>
      <c r="P329" s="724">
        <f t="shared" si="29"/>
        <v>0</v>
      </c>
      <c r="Q329" s="674"/>
    </row>
    <row r="330" spans="2:17">
      <c r="B330" s="330"/>
      <c r="C330" s="720">
        <f>IF(D269="","-",+C329+1)</f>
        <v>2068</v>
      </c>
      <c r="D330" s="673">
        <f t="shared" si="30"/>
        <v>0</v>
      </c>
      <c r="E330" s="726">
        <f t="shared" si="31"/>
        <v>0</v>
      </c>
      <c r="F330" s="726">
        <f t="shared" si="24"/>
        <v>0</v>
      </c>
      <c r="G330" s="673">
        <f t="shared" si="25"/>
        <v>0</v>
      </c>
      <c r="H330" s="721">
        <f>+J270*G330+E330</f>
        <v>0</v>
      </c>
      <c r="I330" s="727">
        <f>+J271*G330+E330</f>
        <v>0</v>
      </c>
      <c r="J330" s="724">
        <f t="shared" si="26"/>
        <v>0</v>
      </c>
      <c r="K330" s="724"/>
      <c r="L330" s="728"/>
      <c r="M330" s="724">
        <f t="shared" si="27"/>
        <v>0</v>
      </c>
      <c r="N330" s="728"/>
      <c r="O330" s="724">
        <f t="shared" si="28"/>
        <v>0</v>
      </c>
      <c r="P330" s="724">
        <f t="shared" si="29"/>
        <v>0</v>
      </c>
      <c r="Q330" s="674"/>
    </row>
    <row r="331" spans="2:17">
      <c r="B331" s="330"/>
      <c r="C331" s="720">
        <f>IF(D269="","-",+C330+1)</f>
        <v>2069</v>
      </c>
      <c r="D331" s="673">
        <f t="shared" si="30"/>
        <v>0</v>
      </c>
      <c r="E331" s="726">
        <f t="shared" si="31"/>
        <v>0</v>
      </c>
      <c r="F331" s="726">
        <f t="shared" si="24"/>
        <v>0</v>
      </c>
      <c r="G331" s="673">
        <f t="shared" si="25"/>
        <v>0</v>
      </c>
      <c r="H331" s="721">
        <f>+J270*G331+E331</f>
        <v>0</v>
      </c>
      <c r="I331" s="727">
        <f>+J271*G331+E331</f>
        <v>0</v>
      </c>
      <c r="J331" s="724">
        <f t="shared" si="26"/>
        <v>0</v>
      </c>
      <c r="K331" s="724"/>
      <c r="L331" s="728"/>
      <c r="M331" s="724">
        <f t="shared" si="27"/>
        <v>0</v>
      </c>
      <c r="N331" s="728"/>
      <c r="O331" s="724">
        <f t="shared" si="28"/>
        <v>0</v>
      </c>
      <c r="P331" s="724">
        <f t="shared" si="29"/>
        <v>0</v>
      </c>
      <c r="Q331" s="674"/>
    </row>
    <row r="332" spans="2:17">
      <c r="B332" s="330"/>
      <c r="C332" s="720">
        <f>IF(D269="","-",+C331+1)</f>
        <v>2070</v>
      </c>
      <c r="D332" s="673">
        <f t="shared" si="30"/>
        <v>0</v>
      </c>
      <c r="E332" s="726">
        <f t="shared" si="31"/>
        <v>0</v>
      </c>
      <c r="F332" s="726">
        <f t="shared" si="24"/>
        <v>0</v>
      </c>
      <c r="G332" s="673">
        <f t="shared" si="25"/>
        <v>0</v>
      </c>
      <c r="H332" s="721">
        <f>+J270*G332+E332</f>
        <v>0</v>
      </c>
      <c r="I332" s="727">
        <f>+J271*G332+E332</f>
        <v>0</v>
      </c>
      <c r="J332" s="724">
        <f t="shared" si="26"/>
        <v>0</v>
      </c>
      <c r="K332" s="724"/>
      <c r="L332" s="728"/>
      <c r="M332" s="724">
        <f t="shared" si="27"/>
        <v>0</v>
      </c>
      <c r="N332" s="728"/>
      <c r="O332" s="724">
        <f t="shared" si="28"/>
        <v>0</v>
      </c>
      <c r="P332" s="724">
        <f t="shared" si="29"/>
        <v>0</v>
      </c>
      <c r="Q332" s="674"/>
    </row>
    <row r="333" spans="2:17">
      <c r="B333" s="330"/>
      <c r="C333" s="720">
        <f>IF(D269="","-",+C332+1)</f>
        <v>2071</v>
      </c>
      <c r="D333" s="673">
        <f t="shared" si="30"/>
        <v>0</v>
      </c>
      <c r="E333" s="726">
        <f t="shared" si="31"/>
        <v>0</v>
      </c>
      <c r="F333" s="726">
        <f t="shared" si="24"/>
        <v>0</v>
      </c>
      <c r="G333" s="673">
        <f t="shared" si="25"/>
        <v>0</v>
      </c>
      <c r="H333" s="721">
        <f>+J270*G333+E333</f>
        <v>0</v>
      </c>
      <c r="I333" s="727">
        <f>+J271*G333+E333</f>
        <v>0</v>
      </c>
      <c r="J333" s="724">
        <f t="shared" si="26"/>
        <v>0</v>
      </c>
      <c r="K333" s="724"/>
      <c r="L333" s="728"/>
      <c r="M333" s="724">
        <f t="shared" si="27"/>
        <v>0</v>
      </c>
      <c r="N333" s="728"/>
      <c r="O333" s="724">
        <f t="shared" si="28"/>
        <v>0</v>
      </c>
      <c r="P333" s="724">
        <f t="shared" si="29"/>
        <v>0</v>
      </c>
      <c r="Q333" s="674"/>
    </row>
    <row r="334" spans="2:17" ht="13.5" thickBot="1">
      <c r="B334" s="330"/>
      <c r="C334" s="730">
        <f>IF(D269="","-",+C333+1)</f>
        <v>2072</v>
      </c>
      <c r="D334" s="731">
        <f t="shared" si="30"/>
        <v>0</v>
      </c>
      <c r="E334" s="726">
        <f t="shared" si="31"/>
        <v>0</v>
      </c>
      <c r="F334" s="732">
        <f t="shared" si="24"/>
        <v>0</v>
      </c>
      <c r="G334" s="731">
        <f t="shared" si="25"/>
        <v>0</v>
      </c>
      <c r="H334" s="733">
        <f>+J270*G334+E334</f>
        <v>0</v>
      </c>
      <c r="I334" s="733">
        <f>+J271*G334+E334</f>
        <v>0</v>
      </c>
      <c r="J334" s="734">
        <f t="shared" si="26"/>
        <v>0</v>
      </c>
      <c r="K334" s="724"/>
      <c r="L334" s="735"/>
      <c r="M334" s="734">
        <f t="shared" si="27"/>
        <v>0</v>
      </c>
      <c r="N334" s="735"/>
      <c r="O334" s="734">
        <f t="shared" si="28"/>
        <v>0</v>
      </c>
      <c r="P334" s="734">
        <f t="shared" si="29"/>
        <v>0</v>
      </c>
      <c r="Q334" s="674"/>
    </row>
    <row r="335" spans="2:17">
      <c r="B335" s="330"/>
      <c r="C335" s="673" t="s">
        <v>288</v>
      </c>
      <c r="D335" s="669"/>
      <c r="E335" s="669">
        <f>SUM(E275:E334)</f>
        <v>1232494.28</v>
      </c>
      <c r="F335" s="669"/>
      <c r="G335" s="669"/>
      <c r="H335" s="669">
        <f>SUM(H275:H334)</f>
        <v>5486795.9914341029</v>
      </c>
      <c r="I335" s="669">
        <f>SUM(I275:I334)</f>
        <v>5486795.9914341029</v>
      </c>
      <c r="J335" s="669">
        <f>SUM(J275:J334)</f>
        <v>0</v>
      </c>
      <c r="K335" s="669"/>
      <c r="L335" s="669"/>
      <c r="M335" s="669"/>
      <c r="N335" s="669"/>
      <c r="O335" s="669"/>
      <c r="Q335" s="669"/>
    </row>
    <row r="336" spans="2:17">
      <c r="B336" s="330"/>
      <c r="D336" s="563"/>
      <c r="E336" s="542"/>
      <c r="F336" s="542"/>
      <c r="G336" s="542"/>
      <c r="H336" s="542"/>
      <c r="I336" s="646"/>
      <c r="J336" s="646"/>
      <c r="K336" s="669"/>
      <c r="L336" s="646"/>
      <c r="M336" s="646"/>
      <c r="N336" s="646"/>
      <c r="O336" s="646"/>
      <c r="Q336" s="669"/>
    </row>
    <row r="337" spans="1:17">
      <c r="B337" s="330"/>
      <c r="C337" s="542" t="s">
        <v>595</v>
      </c>
      <c r="D337" s="563"/>
      <c r="E337" s="542"/>
      <c r="F337" s="542"/>
      <c r="G337" s="542"/>
      <c r="H337" s="542"/>
      <c r="I337" s="646"/>
      <c r="J337" s="646"/>
      <c r="K337" s="669"/>
      <c r="L337" s="646"/>
      <c r="M337" s="646"/>
      <c r="N337" s="646"/>
      <c r="O337" s="646"/>
      <c r="Q337" s="669"/>
    </row>
    <row r="338" spans="1:17">
      <c r="B338" s="330"/>
      <c r="D338" s="563"/>
      <c r="E338" s="542"/>
      <c r="F338" s="542"/>
      <c r="G338" s="542"/>
      <c r="H338" s="542"/>
      <c r="I338" s="646"/>
      <c r="J338" s="646"/>
      <c r="K338" s="669"/>
      <c r="L338" s="646"/>
      <c r="M338" s="646"/>
      <c r="N338" s="646"/>
      <c r="O338" s="646"/>
      <c r="Q338" s="669"/>
    </row>
    <row r="339" spans="1:17">
      <c r="B339" s="330"/>
      <c r="C339" s="576" t="s">
        <v>596</v>
      </c>
      <c r="D339" s="673"/>
      <c r="E339" s="673"/>
      <c r="F339" s="673"/>
      <c r="G339" s="673"/>
      <c r="H339" s="669"/>
      <c r="I339" s="669"/>
      <c r="J339" s="674"/>
      <c r="K339" s="674"/>
      <c r="L339" s="674"/>
      <c r="M339" s="674"/>
      <c r="N339" s="674"/>
      <c r="O339" s="674"/>
      <c r="Q339" s="674"/>
    </row>
    <row r="340" spans="1:17">
      <c r="B340" s="330"/>
      <c r="C340" s="576" t="s">
        <v>476</v>
      </c>
      <c r="D340" s="673"/>
      <c r="E340" s="673"/>
      <c r="F340" s="673"/>
      <c r="G340" s="673"/>
      <c r="H340" s="669"/>
      <c r="I340" s="669"/>
      <c r="J340" s="674"/>
      <c r="K340" s="674"/>
      <c r="L340" s="674"/>
      <c r="M340" s="674"/>
      <c r="N340" s="674"/>
      <c r="O340" s="674"/>
      <c r="Q340" s="674"/>
    </row>
    <row r="341" spans="1:17">
      <c r="B341" s="330"/>
      <c r="C341" s="576" t="s">
        <v>289</v>
      </c>
      <c r="D341" s="673"/>
      <c r="E341" s="673"/>
      <c r="F341" s="673"/>
      <c r="G341" s="673"/>
      <c r="H341" s="669"/>
      <c r="I341" s="669"/>
      <c r="J341" s="674"/>
      <c r="K341" s="674"/>
      <c r="L341" s="674"/>
      <c r="M341" s="674"/>
      <c r="N341" s="674"/>
      <c r="O341" s="674"/>
      <c r="Q341" s="674"/>
    </row>
    <row r="342" spans="1:17" ht="20.25">
      <c r="A342" s="675" t="s">
        <v>764</v>
      </c>
      <c r="B342" s="542"/>
      <c r="C342" s="655"/>
      <c r="D342" s="563"/>
      <c r="E342" s="542"/>
      <c r="F342" s="645"/>
      <c r="G342" s="645"/>
      <c r="H342" s="542"/>
      <c r="I342" s="646"/>
      <c r="L342" s="676"/>
      <c r="M342" s="676"/>
      <c r="N342" s="676"/>
      <c r="O342" s="591" t="str">
        <f>"Page "&amp;SUM(Q$3:Q342)&amp;" of "</f>
        <v xml:space="preserve">Page 5 of </v>
      </c>
      <c r="P342" s="592">
        <f>COUNT(Q$8:Q$58212)</f>
        <v>23</v>
      </c>
      <c r="Q342" s="756">
        <v>1</v>
      </c>
    </row>
    <row r="343" spans="1:17">
      <c r="B343" s="542"/>
      <c r="C343" s="542"/>
      <c r="D343" s="563"/>
      <c r="E343" s="542"/>
      <c r="F343" s="542"/>
      <c r="G343" s="542"/>
      <c r="H343" s="542"/>
      <c r="I343" s="646"/>
      <c r="J343" s="542"/>
      <c r="K343" s="588"/>
      <c r="Q343" s="588"/>
    </row>
    <row r="344" spans="1:17" ht="18">
      <c r="B344" s="595" t="s">
        <v>174</v>
      </c>
      <c r="C344" s="677" t="s">
        <v>290</v>
      </c>
      <c r="D344" s="563"/>
      <c r="E344" s="542"/>
      <c r="F344" s="542"/>
      <c r="G344" s="542"/>
      <c r="H344" s="542"/>
      <c r="I344" s="646"/>
      <c r="J344" s="646"/>
      <c r="K344" s="669"/>
      <c r="L344" s="646"/>
      <c r="M344" s="646"/>
      <c r="N344" s="646"/>
      <c r="O344" s="646"/>
      <c r="Q344" s="669"/>
    </row>
    <row r="345" spans="1:17" ht="18.75">
      <c r="B345" s="595"/>
      <c r="C345" s="594"/>
      <c r="D345" s="563"/>
      <c r="E345" s="542"/>
      <c r="F345" s="542"/>
      <c r="G345" s="542"/>
      <c r="H345" s="542"/>
      <c r="I345" s="646"/>
      <c r="J345" s="646"/>
      <c r="K345" s="669"/>
      <c r="L345" s="646"/>
      <c r="M345" s="646"/>
      <c r="N345" s="646"/>
      <c r="O345" s="646"/>
      <c r="Q345" s="669"/>
    </row>
    <row r="346" spans="1:17" ht="18.75">
      <c r="B346" s="595"/>
      <c r="C346" s="594" t="s">
        <v>291</v>
      </c>
      <c r="D346" s="563"/>
      <c r="E346" s="542"/>
      <c r="F346" s="542"/>
      <c r="G346" s="542"/>
      <c r="H346" s="542"/>
      <c r="I346" s="646"/>
      <c r="J346" s="646"/>
      <c r="K346" s="669"/>
      <c r="L346" s="646"/>
      <c r="M346" s="646"/>
      <c r="N346" s="646"/>
      <c r="O346" s="646"/>
      <c r="Q346" s="669"/>
    </row>
    <row r="347" spans="1:17" ht="15.75" thickBot="1">
      <c r="B347" s="330"/>
      <c r="C347" s="396"/>
      <c r="D347" s="563"/>
      <c r="E347" s="542"/>
      <c r="F347" s="542"/>
      <c r="G347" s="542"/>
      <c r="H347" s="542"/>
      <c r="I347" s="646"/>
      <c r="J347" s="646"/>
      <c r="K347" s="669"/>
      <c r="L347" s="646"/>
      <c r="M347" s="646"/>
      <c r="N347" s="646"/>
      <c r="O347" s="646"/>
      <c r="Q347" s="669"/>
    </row>
    <row r="348" spans="1:17" ht="15.75">
      <c r="B348" s="330"/>
      <c r="C348" s="596" t="s">
        <v>292</v>
      </c>
      <c r="D348" s="563"/>
      <c r="E348" s="542"/>
      <c r="F348" s="542"/>
      <c r="G348" s="542"/>
      <c r="H348" s="864"/>
      <c r="I348" s="542" t="s">
        <v>271</v>
      </c>
      <c r="J348" s="542"/>
      <c r="K348" s="588"/>
      <c r="L348" s="757">
        <f>+J354</f>
        <v>2021</v>
      </c>
      <c r="M348" s="739" t="s">
        <v>254</v>
      </c>
      <c r="N348" s="739" t="s">
        <v>255</v>
      </c>
      <c r="O348" s="740" t="s">
        <v>256</v>
      </c>
      <c r="Q348" s="588"/>
    </row>
    <row r="349" spans="1:17" ht="15.75">
      <c r="B349" s="330"/>
      <c r="C349" s="596"/>
      <c r="D349" s="563"/>
      <c r="E349" s="542"/>
      <c r="F349" s="542"/>
      <c r="H349" s="542"/>
      <c r="I349" s="681"/>
      <c r="J349" s="681"/>
      <c r="K349" s="682"/>
      <c r="L349" s="758" t="s">
        <v>455</v>
      </c>
      <c r="M349" s="759">
        <f>VLOOKUP(J354,C361:P420,10)</f>
        <v>806620.29633851722</v>
      </c>
      <c r="N349" s="759">
        <f>VLOOKUP(J354,C361:P420,12)</f>
        <v>806620.29633851722</v>
      </c>
      <c r="O349" s="760">
        <f>+N349-M349</f>
        <v>0</v>
      </c>
      <c r="Q349" s="682"/>
    </row>
    <row r="350" spans="1:17">
      <c r="B350" s="330"/>
      <c r="C350" s="684" t="s">
        <v>293</v>
      </c>
      <c r="D350" s="1712" t="s">
        <v>937</v>
      </c>
      <c r="E350" s="1713"/>
      <c r="F350" s="1713"/>
      <c r="G350" s="1713"/>
      <c r="H350" s="1713"/>
      <c r="I350" s="1713"/>
      <c r="J350" s="646"/>
      <c r="K350" s="669"/>
      <c r="L350" s="758" t="s">
        <v>456</v>
      </c>
      <c r="M350" s="761">
        <f>VLOOKUP(J354,C361:P420,6)</f>
        <v>854137.72995455388</v>
      </c>
      <c r="N350" s="761">
        <f>VLOOKUP(J354,C361:P420,7)</f>
        <v>854137.72995455388</v>
      </c>
      <c r="O350" s="762">
        <f>+N350-M350</f>
        <v>0</v>
      </c>
      <c r="Q350" s="669"/>
    </row>
    <row r="351" spans="1:17" ht="13.5" thickBot="1">
      <c r="B351" s="330"/>
      <c r="C351" s="686"/>
      <c r="D351" s="1713"/>
      <c r="E351" s="1713"/>
      <c r="F351" s="1713"/>
      <c r="G351" s="1713"/>
      <c r="H351" s="1713"/>
      <c r="I351" s="1713"/>
      <c r="J351" s="646"/>
      <c r="K351" s="669"/>
      <c r="L351" s="705" t="s">
        <v>457</v>
      </c>
      <c r="M351" s="763">
        <f>+M350-M349</f>
        <v>47517.433616036666</v>
      </c>
      <c r="N351" s="763">
        <f>+N350-N349</f>
        <v>47517.433616036666</v>
      </c>
      <c r="O351" s="764">
        <f>+O350-O349</f>
        <v>0</v>
      </c>
      <c r="Q351" s="669"/>
    </row>
    <row r="352" spans="1:17" ht="13.5" thickBot="1">
      <c r="B352" s="330"/>
      <c r="C352" s="689"/>
      <c r="D352" s="690"/>
      <c r="E352" s="688"/>
      <c r="F352" s="688"/>
      <c r="G352" s="688"/>
      <c r="H352" s="688"/>
      <c r="I352" s="688"/>
      <c r="J352" s="688"/>
      <c r="K352" s="691"/>
      <c r="L352" s="688"/>
      <c r="M352" s="688"/>
      <c r="N352" s="688"/>
      <c r="O352" s="688"/>
      <c r="P352" s="576"/>
      <c r="Q352" s="691"/>
    </row>
    <row r="353" spans="1:17" ht="13.5" thickBot="1">
      <c r="B353" s="330"/>
      <c r="C353" s="692" t="s">
        <v>294</v>
      </c>
      <c r="D353" s="693"/>
      <c r="E353" s="693"/>
      <c r="F353" s="693"/>
      <c r="G353" s="693"/>
      <c r="H353" s="693"/>
      <c r="I353" s="693"/>
      <c r="J353" s="693"/>
      <c r="K353" s="695"/>
      <c r="P353" s="696"/>
      <c r="Q353" s="695"/>
    </row>
    <row r="354" spans="1:17" ht="15">
      <c r="A354" s="1310"/>
      <c r="B354" s="330"/>
      <c r="C354" s="697" t="s">
        <v>272</v>
      </c>
      <c r="D354" s="1253">
        <v>5705686.0099999998</v>
      </c>
      <c r="E354" s="655" t="s">
        <v>273</v>
      </c>
      <c r="H354" s="698"/>
      <c r="I354" s="698"/>
      <c r="J354" s="1451">
        <f>$J$95</f>
        <v>2021</v>
      </c>
      <c r="K354" s="586"/>
      <c r="L354" s="1717" t="s">
        <v>274</v>
      </c>
      <c r="M354" s="1717"/>
      <c r="N354" s="1717"/>
      <c r="O354" s="1717"/>
      <c r="P354" s="588"/>
      <c r="Q354" s="586"/>
    </row>
    <row r="355" spans="1:17">
      <c r="A355" s="1310"/>
      <c r="B355" s="330"/>
      <c r="C355" s="697" t="s">
        <v>275</v>
      </c>
      <c r="D355" s="873">
        <v>2013</v>
      </c>
      <c r="E355" s="697" t="s">
        <v>276</v>
      </c>
      <c r="F355" s="698"/>
      <c r="G355" s="698"/>
      <c r="I355" s="330"/>
      <c r="J355" s="867">
        <v>0</v>
      </c>
      <c r="K355" s="700"/>
      <c r="L355" s="669" t="s">
        <v>475</v>
      </c>
      <c r="P355" s="588"/>
      <c r="Q355" s="700"/>
    </row>
    <row r="356" spans="1:17">
      <c r="A356" s="1310"/>
      <c r="B356" s="330"/>
      <c r="C356" s="697" t="s">
        <v>277</v>
      </c>
      <c r="D356" s="1280">
        <v>11</v>
      </c>
      <c r="E356" s="697" t="s">
        <v>278</v>
      </c>
      <c r="F356" s="698"/>
      <c r="G356" s="698"/>
      <c r="I356" s="330"/>
      <c r="J356" s="701">
        <f>$F$70</f>
        <v>0.15341253840442806</v>
      </c>
      <c r="K356" s="702"/>
      <c r="L356" s="542" t="str">
        <f>"          INPUT TRUE-UP ARR (WITH &amp; WITHOUT INCENTIVES) FROM EACH PRIOR YEAR"</f>
        <v xml:space="preserve">          INPUT TRUE-UP ARR (WITH &amp; WITHOUT INCENTIVES) FROM EACH PRIOR YEAR</v>
      </c>
      <c r="P356" s="588"/>
      <c r="Q356" s="702"/>
    </row>
    <row r="357" spans="1:17">
      <c r="A357" s="1310"/>
      <c r="B357" s="330"/>
      <c r="C357" s="697" t="s">
        <v>279</v>
      </c>
      <c r="D357" s="703">
        <f>H79</f>
        <v>44</v>
      </c>
      <c r="E357" s="697" t="s">
        <v>280</v>
      </c>
      <c r="F357" s="698"/>
      <c r="G357" s="698"/>
      <c r="I357" s="330"/>
      <c r="J357" s="701">
        <f>IF(H348="",J356,$F$69)</f>
        <v>0.15341253840442806</v>
      </c>
      <c r="K357" s="704"/>
      <c r="L357" s="542" t="s">
        <v>362</v>
      </c>
      <c r="M357" s="704"/>
      <c r="N357" s="704"/>
      <c r="O357" s="704"/>
      <c r="P357" s="588"/>
      <c r="Q357" s="704"/>
    </row>
    <row r="358" spans="1:17" ht="13.5" thickBot="1">
      <c r="A358" s="1310"/>
      <c r="B358" s="330"/>
      <c r="C358" s="697" t="s">
        <v>281</v>
      </c>
      <c r="D358" s="866" t="s">
        <v>933</v>
      </c>
      <c r="E358" s="705" t="s">
        <v>282</v>
      </c>
      <c r="F358" s="706"/>
      <c r="G358" s="706"/>
      <c r="H358" s="707"/>
      <c r="I358" s="707"/>
      <c r="J358" s="685">
        <f>IF(D354=0,0,D354/D357)</f>
        <v>129674.68204545454</v>
      </c>
      <c r="K358" s="669"/>
      <c r="L358" s="669" t="s">
        <v>363</v>
      </c>
      <c r="M358" s="669"/>
      <c r="N358" s="669"/>
      <c r="O358" s="669"/>
      <c r="P358" s="588"/>
      <c r="Q358" s="669"/>
    </row>
    <row r="359" spans="1:17" ht="38.25">
      <c r="A359" s="529"/>
      <c r="B359" s="529"/>
      <c r="C359" s="708" t="s">
        <v>272</v>
      </c>
      <c r="D359" s="709" t="s">
        <v>283</v>
      </c>
      <c r="E359" s="710" t="s">
        <v>284</v>
      </c>
      <c r="F359" s="709" t="s">
        <v>285</v>
      </c>
      <c r="G359" s="709" t="s">
        <v>458</v>
      </c>
      <c r="H359" s="710" t="s">
        <v>356</v>
      </c>
      <c r="I359" s="711" t="s">
        <v>356</v>
      </c>
      <c r="J359" s="708" t="s">
        <v>295</v>
      </c>
      <c r="K359" s="712"/>
      <c r="L359" s="710" t="s">
        <v>358</v>
      </c>
      <c r="M359" s="710" t="s">
        <v>364</v>
      </c>
      <c r="N359" s="710" t="s">
        <v>358</v>
      </c>
      <c r="O359" s="710" t="s">
        <v>366</v>
      </c>
      <c r="P359" s="710" t="s">
        <v>286</v>
      </c>
      <c r="Q359" s="713"/>
    </row>
    <row r="360" spans="1:17" ht="13.5" thickBot="1">
      <c r="B360" s="330"/>
      <c r="C360" s="714" t="s">
        <v>177</v>
      </c>
      <c r="D360" s="715" t="s">
        <v>178</v>
      </c>
      <c r="E360" s="714" t="s">
        <v>37</v>
      </c>
      <c r="F360" s="715" t="s">
        <v>178</v>
      </c>
      <c r="G360" s="715" t="s">
        <v>178</v>
      </c>
      <c r="H360" s="716" t="s">
        <v>298</v>
      </c>
      <c r="I360" s="717" t="s">
        <v>300</v>
      </c>
      <c r="J360" s="718" t="s">
        <v>389</v>
      </c>
      <c r="K360" s="719"/>
      <c r="L360" s="716" t="s">
        <v>287</v>
      </c>
      <c r="M360" s="716" t="s">
        <v>287</v>
      </c>
      <c r="N360" s="716" t="s">
        <v>467</v>
      </c>
      <c r="O360" s="716" t="s">
        <v>467</v>
      </c>
      <c r="P360" s="716" t="s">
        <v>467</v>
      </c>
      <c r="Q360" s="586"/>
    </row>
    <row r="361" spans="1:17">
      <c r="B361" s="330"/>
      <c r="C361" s="720">
        <f>IF(D355= "","-",D355)</f>
        <v>2013</v>
      </c>
      <c r="D361" s="673">
        <f>+D354</f>
        <v>5705686.0099999998</v>
      </c>
      <c r="E361" s="721">
        <f>+J358/12*(12-D356)</f>
        <v>10806.223503787878</v>
      </c>
      <c r="F361" s="765">
        <f t="shared" ref="F361:F420" si="32">+D361-E361</f>
        <v>5694879.7864962118</v>
      </c>
      <c r="G361" s="673">
        <f t="shared" ref="G361:G420" si="33">+(D361+F361)/2</f>
        <v>5700282.8982481062</v>
      </c>
      <c r="H361" s="722">
        <f>+J356*G361+E361</f>
        <v>885301.09254738002</v>
      </c>
      <c r="I361" s="723">
        <f>+J357*G361+E361</f>
        <v>885301.09254738002</v>
      </c>
      <c r="J361" s="724">
        <f t="shared" ref="J361:J420" si="34">+I361-H361</f>
        <v>0</v>
      </c>
      <c r="K361" s="724"/>
      <c r="L361" s="728">
        <v>528784</v>
      </c>
      <c r="M361" s="766">
        <f t="shared" ref="M361:M420" si="35">IF(L361&lt;&gt;0,+H361-L361,0)</f>
        <v>356517.09254738002</v>
      </c>
      <c r="N361" s="728">
        <v>528784</v>
      </c>
      <c r="O361" s="766">
        <f t="shared" ref="O361:O420" si="36">IF(N361&lt;&gt;0,+I361-N361,0)</f>
        <v>356517.09254738002</v>
      </c>
      <c r="P361" s="766">
        <f t="shared" ref="P361:P420" si="37">+O361-M361</f>
        <v>0</v>
      </c>
      <c r="Q361" s="674"/>
    </row>
    <row r="362" spans="1:17">
      <c r="B362" s="330"/>
      <c r="C362" s="720">
        <f>IF(D355="","-",+C361+1)</f>
        <v>2014</v>
      </c>
      <c r="D362" s="673">
        <f t="shared" ref="D362:D420" si="38">F361</f>
        <v>5694879.7864962118</v>
      </c>
      <c r="E362" s="726">
        <f>IF(D362&gt;$J$358,$J$358,D362)</f>
        <v>129674.68204545454</v>
      </c>
      <c r="F362" s="726">
        <f t="shared" si="32"/>
        <v>5565205.1044507576</v>
      </c>
      <c r="G362" s="673">
        <f t="shared" si="33"/>
        <v>5630042.4454734847</v>
      </c>
      <c r="H362" s="721">
        <f>+J356*G362+E362</f>
        <v>993393.78493021557</v>
      </c>
      <c r="I362" s="727">
        <f>+J357*G362+E362</f>
        <v>993393.78493021557</v>
      </c>
      <c r="J362" s="724">
        <f t="shared" si="34"/>
        <v>0</v>
      </c>
      <c r="K362" s="724"/>
      <c r="L362" s="728">
        <v>1017894</v>
      </c>
      <c r="M362" s="724">
        <f t="shared" si="35"/>
        <v>-24500.215069784434</v>
      </c>
      <c r="N362" s="728">
        <v>1017894</v>
      </c>
      <c r="O362" s="724">
        <f t="shared" si="36"/>
        <v>-24500.215069784434</v>
      </c>
      <c r="P362" s="724">
        <f t="shared" si="37"/>
        <v>0</v>
      </c>
      <c r="Q362" s="674"/>
    </row>
    <row r="363" spans="1:17">
      <c r="B363" s="330"/>
      <c r="C363" s="720">
        <f>IF(D355="","-",+C362+1)</f>
        <v>2015</v>
      </c>
      <c r="D363" s="673">
        <f t="shared" si="38"/>
        <v>5565205.1044507576</v>
      </c>
      <c r="E363" s="726">
        <f t="shared" ref="E363:E420" si="39">IF(D363&gt;$J$358,$J$358,D363)</f>
        <v>129674.68204545454</v>
      </c>
      <c r="F363" s="726">
        <f t="shared" si="32"/>
        <v>5435530.4224053035</v>
      </c>
      <c r="G363" s="673">
        <f t="shared" si="33"/>
        <v>5500367.7634280305</v>
      </c>
      <c r="H363" s="721">
        <f>+J356*G363+E363</f>
        <v>973500.06279083528</v>
      </c>
      <c r="I363" s="727">
        <f>+J357*G363+E363</f>
        <v>973500.06279083528</v>
      </c>
      <c r="J363" s="724">
        <f t="shared" si="34"/>
        <v>0</v>
      </c>
      <c r="K363" s="724"/>
      <c r="L363" s="728">
        <v>953651</v>
      </c>
      <c r="M363" s="724">
        <f t="shared" si="35"/>
        <v>19849.062790835276</v>
      </c>
      <c r="N363" s="728">
        <v>953651</v>
      </c>
      <c r="O363" s="724">
        <f t="shared" si="36"/>
        <v>19849.062790835276</v>
      </c>
      <c r="P363" s="724">
        <f t="shared" si="37"/>
        <v>0</v>
      </c>
      <c r="Q363" s="674"/>
    </row>
    <row r="364" spans="1:17">
      <c r="B364" s="330"/>
      <c r="C364" s="720">
        <f>IF(D355="","-",+C363+1)</f>
        <v>2016</v>
      </c>
      <c r="D364" s="673">
        <f t="shared" si="38"/>
        <v>5435530.4224053035</v>
      </c>
      <c r="E364" s="726">
        <f t="shared" si="39"/>
        <v>129674.68204545454</v>
      </c>
      <c r="F364" s="726">
        <f t="shared" si="32"/>
        <v>5305855.7403598493</v>
      </c>
      <c r="G364" s="673">
        <f t="shared" si="33"/>
        <v>5370693.0813825764</v>
      </c>
      <c r="H364" s="721">
        <f>+J356*G364+E364</f>
        <v>953606.3406514551</v>
      </c>
      <c r="I364" s="727">
        <f>+J357*G364+E364</f>
        <v>953606.3406514551</v>
      </c>
      <c r="J364" s="724">
        <f t="shared" si="34"/>
        <v>0</v>
      </c>
      <c r="K364" s="724"/>
      <c r="L364" s="728">
        <v>919468</v>
      </c>
      <c r="M364" s="724">
        <f t="shared" si="35"/>
        <v>34138.340651455102</v>
      </c>
      <c r="N364" s="728">
        <v>919468</v>
      </c>
      <c r="O364" s="724">
        <f t="shared" si="36"/>
        <v>34138.340651455102</v>
      </c>
      <c r="P364" s="724">
        <f t="shared" si="37"/>
        <v>0</v>
      </c>
      <c r="Q364" s="674"/>
    </row>
    <row r="365" spans="1:17">
      <c r="B365" s="330"/>
      <c r="C365" s="720">
        <f>IF(D355="","-",+C364+1)</f>
        <v>2017</v>
      </c>
      <c r="D365" s="673">
        <f t="shared" si="38"/>
        <v>5305855.7403598493</v>
      </c>
      <c r="E365" s="726">
        <f t="shared" si="39"/>
        <v>129674.68204545454</v>
      </c>
      <c r="F365" s="726">
        <f t="shared" si="32"/>
        <v>5176181.0583143951</v>
      </c>
      <c r="G365" s="673">
        <f t="shared" si="33"/>
        <v>5241018.3993371222</v>
      </c>
      <c r="H365" s="721">
        <f>+J356*G365+E365</f>
        <v>933712.61851207481</v>
      </c>
      <c r="I365" s="727">
        <f>+J357*G365+E365</f>
        <v>933712.61851207481</v>
      </c>
      <c r="J365" s="724">
        <f t="shared" si="34"/>
        <v>0</v>
      </c>
      <c r="K365" s="724"/>
      <c r="L365" s="728">
        <v>929340</v>
      </c>
      <c r="M365" s="724">
        <f t="shared" si="35"/>
        <v>4372.6185120748123</v>
      </c>
      <c r="N365" s="728">
        <v>929340</v>
      </c>
      <c r="O365" s="724">
        <f t="shared" si="36"/>
        <v>4372.6185120748123</v>
      </c>
      <c r="P365" s="724">
        <f t="shared" si="37"/>
        <v>0</v>
      </c>
      <c r="Q365" s="674"/>
    </row>
    <row r="366" spans="1:17">
      <c r="B366" s="330"/>
      <c r="C366" s="720">
        <f>IF(D355="","-",+C365+1)</f>
        <v>2018</v>
      </c>
      <c r="D366" s="1455">
        <f t="shared" si="38"/>
        <v>5176181.0583143951</v>
      </c>
      <c r="E366" s="726">
        <f t="shared" si="39"/>
        <v>129674.68204545454</v>
      </c>
      <c r="F366" s="726">
        <f t="shared" si="32"/>
        <v>5046506.376268941</v>
      </c>
      <c r="G366" s="673">
        <f t="shared" si="33"/>
        <v>5111343.7172916681</v>
      </c>
      <c r="H366" s="721">
        <f>+J356*G366+E366</f>
        <v>913818.89637269464</v>
      </c>
      <c r="I366" s="727">
        <f>+J357*G366+E366</f>
        <v>913818.89637269464</v>
      </c>
      <c r="J366" s="724">
        <f t="shared" si="34"/>
        <v>0</v>
      </c>
      <c r="K366" s="724"/>
      <c r="L366" s="728">
        <v>902942</v>
      </c>
      <c r="M366" s="724">
        <f t="shared" si="35"/>
        <v>10876.896372694639</v>
      </c>
      <c r="N366" s="728">
        <v>902942</v>
      </c>
      <c r="O366" s="724">
        <f t="shared" si="36"/>
        <v>10876.896372694639</v>
      </c>
      <c r="P366" s="724">
        <f t="shared" si="37"/>
        <v>0</v>
      </c>
      <c r="Q366" s="674"/>
    </row>
    <row r="367" spans="1:17">
      <c r="B367" s="330"/>
      <c r="C367" s="720">
        <f>IF(D355="","-",+C366+1)</f>
        <v>2019</v>
      </c>
      <c r="D367" s="1269">
        <f t="shared" si="38"/>
        <v>5046506.376268941</v>
      </c>
      <c r="E367" s="726">
        <f t="shared" si="39"/>
        <v>129674.68204545454</v>
      </c>
      <c r="F367" s="726">
        <f t="shared" si="32"/>
        <v>4916831.6942234868</v>
      </c>
      <c r="G367" s="673">
        <f t="shared" si="33"/>
        <v>4981669.0352462139</v>
      </c>
      <c r="H367" s="721">
        <f>+J356*G367+E367</f>
        <v>893925.17423331435</v>
      </c>
      <c r="I367" s="727">
        <f>+J357*G367+E367</f>
        <v>893925.17423331435</v>
      </c>
      <c r="J367" s="724">
        <f t="shared" si="34"/>
        <v>0</v>
      </c>
      <c r="K367" s="724"/>
      <c r="L367" s="1452">
        <v>877873</v>
      </c>
      <c r="M367" s="724">
        <f t="shared" si="35"/>
        <v>16052.174233314348</v>
      </c>
      <c r="N367" s="1452">
        <v>877873</v>
      </c>
      <c r="O367" s="724">
        <f t="shared" si="36"/>
        <v>16052.174233314348</v>
      </c>
      <c r="P367" s="724">
        <f t="shared" si="37"/>
        <v>0</v>
      </c>
      <c r="Q367" s="674"/>
    </row>
    <row r="368" spans="1:17">
      <c r="B368" s="330"/>
      <c r="C368" s="720">
        <f>IF(D355="","-",+C367+1)</f>
        <v>2020</v>
      </c>
      <c r="D368" s="673">
        <f t="shared" si="38"/>
        <v>4916831.6942234868</v>
      </c>
      <c r="E368" s="726">
        <f t="shared" si="39"/>
        <v>129674.68204545454</v>
      </c>
      <c r="F368" s="726">
        <f t="shared" si="32"/>
        <v>4787157.0121780327</v>
      </c>
      <c r="G368" s="673">
        <f t="shared" si="33"/>
        <v>4851994.3532007597</v>
      </c>
      <c r="H368" s="721">
        <f>+J356*G368+E368</f>
        <v>874031.45209393417</v>
      </c>
      <c r="I368" s="727">
        <f>+J357*G368+E368</f>
        <v>874031.45209393417</v>
      </c>
      <c r="J368" s="724">
        <f t="shared" si="34"/>
        <v>0</v>
      </c>
      <c r="K368" s="724"/>
      <c r="L368" s="728">
        <v>845618.23715895414</v>
      </c>
      <c r="M368" s="724">
        <f t="shared" si="35"/>
        <v>28413.214934980031</v>
      </c>
      <c r="N368" s="1548">
        <v>845618.23715895414</v>
      </c>
      <c r="O368" s="724">
        <f t="shared" si="36"/>
        <v>28413.214934980031</v>
      </c>
      <c r="P368" s="724">
        <f t="shared" si="37"/>
        <v>0</v>
      </c>
      <c r="Q368" s="674"/>
    </row>
    <row r="369" spans="2:17">
      <c r="B369" s="330"/>
      <c r="C369" s="720">
        <f>IF(D355="","-",+C368+1)</f>
        <v>2021</v>
      </c>
      <c r="D369" s="673">
        <f t="shared" si="38"/>
        <v>4787157.0121780327</v>
      </c>
      <c r="E369" s="726">
        <f t="shared" si="39"/>
        <v>129674.68204545454</v>
      </c>
      <c r="F369" s="726">
        <f t="shared" si="32"/>
        <v>4657482.3301325785</v>
      </c>
      <c r="G369" s="673">
        <f t="shared" si="33"/>
        <v>4722319.6711553056</v>
      </c>
      <c r="H369" s="721">
        <f>+J356*G369+E369</f>
        <v>854137.72995455388</v>
      </c>
      <c r="I369" s="727">
        <f>+J357*G369+E369</f>
        <v>854137.72995455388</v>
      </c>
      <c r="J369" s="724">
        <f t="shared" si="34"/>
        <v>0</v>
      </c>
      <c r="K369" s="724"/>
      <c r="L369" s="728">
        <v>806620.29633851722</v>
      </c>
      <c r="M369" s="724">
        <f t="shared" si="35"/>
        <v>47517.433616036666</v>
      </c>
      <c r="N369" s="1548">
        <v>806620.29633851722</v>
      </c>
      <c r="O369" s="724">
        <f t="shared" si="36"/>
        <v>47517.433616036666</v>
      </c>
      <c r="P369" s="724">
        <f t="shared" si="37"/>
        <v>0</v>
      </c>
      <c r="Q369" s="674"/>
    </row>
    <row r="370" spans="2:17">
      <c r="B370" s="330"/>
      <c r="C370" s="1291">
        <f>IF(D355="","-",+C369+1)</f>
        <v>2022</v>
      </c>
      <c r="D370" s="673">
        <f t="shared" si="38"/>
        <v>4657482.3301325785</v>
      </c>
      <c r="E370" s="726">
        <f t="shared" si="39"/>
        <v>129674.68204545454</v>
      </c>
      <c r="F370" s="726">
        <f t="shared" si="32"/>
        <v>4527807.6480871243</v>
      </c>
      <c r="G370" s="673">
        <f t="shared" si="33"/>
        <v>4592644.9891098514</v>
      </c>
      <c r="H370" s="721">
        <f>+J356*G370+E370</f>
        <v>834244.00781517371</v>
      </c>
      <c r="I370" s="727">
        <f>+J357*G370+E370</f>
        <v>834244.00781517371</v>
      </c>
      <c r="J370" s="724">
        <f t="shared" si="34"/>
        <v>0</v>
      </c>
      <c r="K370" s="724"/>
      <c r="L370" s="728">
        <v>0</v>
      </c>
      <c r="M370" s="724">
        <f t="shared" si="35"/>
        <v>0</v>
      </c>
      <c r="N370" s="728">
        <v>0</v>
      </c>
      <c r="O370" s="724">
        <f t="shared" si="36"/>
        <v>0</v>
      </c>
      <c r="P370" s="724">
        <f t="shared" si="37"/>
        <v>0</v>
      </c>
      <c r="Q370" s="674"/>
    </row>
    <row r="371" spans="2:17">
      <c r="B371" s="330"/>
      <c r="C371" s="720">
        <f>IF(D355="","-",+C370+1)</f>
        <v>2023</v>
      </c>
      <c r="D371" s="673">
        <f t="shared" si="38"/>
        <v>4527807.6480871243</v>
      </c>
      <c r="E371" s="726">
        <f t="shared" si="39"/>
        <v>129674.68204545454</v>
      </c>
      <c r="F371" s="726">
        <f t="shared" si="32"/>
        <v>4398132.9660416702</v>
      </c>
      <c r="G371" s="673">
        <f t="shared" si="33"/>
        <v>4462970.3070643973</v>
      </c>
      <c r="H371" s="721">
        <f>+J356*G371+E371</f>
        <v>814350.28567579342</v>
      </c>
      <c r="I371" s="727">
        <f>+J357*G371+E371</f>
        <v>814350.28567579342</v>
      </c>
      <c r="J371" s="724">
        <f t="shared" si="34"/>
        <v>0</v>
      </c>
      <c r="K371" s="724"/>
      <c r="L371" s="728"/>
      <c r="M371" s="724">
        <f t="shared" si="35"/>
        <v>0</v>
      </c>
      <c r="N371" s="728"/>
      <c r="O371" s="724">
        <f t="shared" si="36"/>
        <v>0</v>
      </c>
      <c r="P371" s="724">
        <f t="shared" si="37"/>
        <v>0</v>
      </c>
      <c r="Q371" s="674"/>
    </row>
    <row r="372" spans="2:17">
      <c r="B372" s="330"/>
      <c r="C372" s="720">
        <f>IF(D355="","-",+C371+1)</f>
        <v>2024</v>
      </c>
      <c r="D372" s="673">
        <f t="shared" si="38"/>
        <v>4398132.9660416702</v>
      </c>
      <c r="E372" s="726">
        <f t="shared" si="39"/>
        <v>129674.68204545454</v>
      </c>
      <c r="F372" s="726">
        <f t="shared" si="32"/>
        <v>4268458.283996216</v>
      </c>
      <c r="G372" s="673">
        <f t="shared" si="33"/>
        <v>4333295.6250189431</v>
      </c>
      <c r="H372" s="721">
        <f>+J356*G372+E372</f>
        <v>794456.56353641325</v>
      </c>
      <c r="I372" s="727">
        <f>+J357*G372+E372</f>
        <v>794456.56353641325</v>
      </c>
      <c r="J372" s="724">
        <f t="shared" si="34"/>
        <v>0</v>
      </c>
      <c r="K372" s="724"/>
      <c r="L372" s="728"/>
      <c r="M372" s="724">
        <f t="shared" si="35"/>
        <v>0</v>
      </c>
      <c r="N372" s="728"/>
      <c r="O372" s="724">
        <f t="shared" si="36"/>
        <v>0</v>
      </c>
      <c r="P372" s="724">
        <f t="shared" si="37"/>
        <v>0</v>
      </c>
      <c r="Q372" s="674"/>
    </row>
    <row r="373" spans="2:17">
      <c r="B373" s="330"/>
      <c r="C373" s="720">
        <f>IF(D355="","-",+C372+1)</f>
        <v>2025</v>
      </c>
      <c r="D373" s="673">
        <f t="shared" si="38"/>
        <v>4268458.283996216</v>
      </c>
      <c r="E373" s="726">
        <f t="shared" si="39"/>
        <v>129674.68204545454</v>
      </c>
      <c r="F373" s="726">
        <f t="shared" si="32"/>
        <v>4138783.6019507614</v>
      </c>
      <c r="G373" s="673">
        <f t="shared" si="33"/>
        <v>4203620.9429734889</v>
      </c>
      <c r="H373" s="721">
        <f>+J356*G373+E373</f>
        <v>774562.84139703296</v>
      </c>
      <c r="I373" s="727">
        <f>+J357*G373+E373</f>
        <v>774562.84139703296</v>
      </c>
      <c r="J373" s="724">
        <f t="shared" si="34"/>
        <v>0</v>
      </c>
      <c r="K373" s="724"/>
      <c r="L373" s="728"/>
      <c r="M373" s="724">
        <f t="shared" si="35"/>
        <v>0</v>
      </c>
      <c r="N373" s="728"/>
      <c r="O373" s="724">
        <f t="shared" si="36"/>
        <v>0</v>
      </c>
      <c r="P373" s="724">
        <f t="shared" si="37"/>
        <v>0</v>
      </c>
      <c r="Q373" s="674"/>
    </row>
    <row r="374" spans="2:17">
      <c r="B374" s="330"/>
      <c r="C374" s="720">
        <f>IF(D355="","-",+C373+1)</f>
        <v>2026</v>
      </c>
      <c r="D374" s="673">
        <f t="shared" si="38"/>
        <v>4138783.6019507614</v>
      </c>
      <c r="E374" s="726">
        <f t="shared" si="39"/>
        <v>129674.68204545454</v>
      </c>
      <c r="F374" s="726">
        <f t="shared" si="32"/>
        <v>4009108.9199053068</v>
      </c>
      <c r="G374" s="673">
        <f t="shared" si="33"/>
        <v>4073946.2609280339</v>
      </c>
      <c r="H374" s="721">
        <f>+J356*G374+E374</f>
        <v>754669.11925765255</v>
      </c>
      <c r="I374" s="727">
        <f>+J357*G374+E374</f>
        <v>754669.11925765255</v>
      </c>
      <c r="J374" s="724">
        <f t="shared" si="34"/>
        <v>0</v>
      </c>
      <c r="K374" s="724"/>
      <c r="L374" s="728"/>
      <c r="M374" s="724">
        <f t="shared" si="35"/>
        <v>0</v>
      </c>
      <c r="N374" s="728"/>
      <c r="O374" s="724">
        <f t="shared" si="36"/>
        <v>0</v>
      </c>
      <c r="P374" s="724">
        <f t="shared" si="37"/>
        <v>0</v>
      </c>
      <c r="Q374" s="674"/>
    </row>
    <row r="375" spans="2:17">
      <c r="B375" s="330"/>
      <c r="C375" s="720">
        <f>IF(D355="","-",+C374+1)</f>
        <v>2027</v>
      </c>
      <c r="D375" s="673">
        <f t="shared" si="38"/>
        <v>4009108.9199053068</v>
      </c>
      <c r="E375" s="726">
        <f t="shared" si="39"/>
        <v>129674.68204545454</v>
      </c>
      <c r="F375" s="726">
        <f t="shared" si="32"/>
        <v>3879434.2378598521</v>
      </c>
      <c r="G375" s="673">
        <f t="shared" si="33"/>
        <v>3944271.5788825797</v>
      </c>
      <c r="H375" s="721">
        <f>+J356*G375+E375</f>
        <v>734775.39711827238</v>
      </c>
      <c r="I375" s="727">
        <f>+J357*G375+E375</f>
        <v>734775.39711827238</v>
      </c>
      <c r="J375" s="724">
        <f t="shared" si="34"/>
        <v>0</v>
      </c>
      <c r="K375" s="724"/>
      <c r="L375" s="728"/>
      <c r="M375" s="724">
        <f t="shared" si="35"/>
        <v>0</v>
      </c>
      <c r="N375" s="728"/>
      <c r="O375" s="724">
        <f t="shared" si="36"/>
        <v>0</v>
      </c>
      <c r="P375" s="724">
        <f t="shared" si="37"/>
        <v>0</v>
      </c>
      <c r="Q375" s="674"/>
    </row>
    <row r="376" spans="2:17">
      <c r="B376" s="330"/>
      <c r="C376" s="720">
        <f>IF(D355="","-",+C375+1)</f>
        <v>2028</v>
      </c>
      <c r="D376" s="673">
        <f t="shared" si="38"/>
        <v>3879434.2378598521</v>
      </c>
      <c r="E376" s="726">
        <f t="shared" si="39"/>
        <v>129674.68204545454</v>
      </c>
      <c r="F376" s="726">
        <f t="shared" si="32"/>
        <v>3749759.5558143975</v>
      </c>
      <c r="G376" s="673">
        <f t="shared" si="33"/>
        <v>3814596.8968371246</v>
      </c>
      <c r="H376" s="721">
        <f>+J356*G376+E376</f>
        <v>714881.67497889197</v>
      </c>
      <c r="I376" s="727">
        <f>+J357*G376+E376</f>
        <v>714881.67497889197</v>
      </c>
      <c r="J376" s="724">
        <f t="shared" si="34"/>
        <v>0</v>
      </c>
      <c r="K376" s="724"/>
      <c r="L376" s="728"/>
      <c r="M376" s="724">
        <f t="shared" si="35"/>
        <v>0</v>
      </c>
      <c r="N376" s="728"/>
      <c r="O376" s="724">
        <f t="shared" si="36"/>
        <v>0</v>
      </c>
      <c r="P376" s="724">
        <f t="shared" si="37"/>
        <v>0</v>
      </c>
      <c r="Q376" s="674"/>
    </row>
    <row r="377" spans="2:17">
      <c r="B377" s="330"/>
      <c r="C377" s="720">
        <f>IF(D355="","-",+C376+1)</f>
        <v>2029</v>
      </c>
      <c r="D377" s="673">
        <f t="shared" si="38"/>
        <v>3749759.5558143975</v>
      </c>
      <c r="E377" s="726">
        <f t="shared" si="39"/>
        <v>129674.68204545454</v>
      </c>
      <c r="F377" s="726">
        <f t="shared" si="32"/>
        <v>3620084.8737689429</v>
      </c>
      <c r="G377" s="673">
        <f t="shared" si="33"/>
        <v>3684922.2147916704</v>
      </c>
      <c r="H377" s="721">
        <f>+J356*G377+E377</f>
        <v>694987.9528395118</v>
      </c>
      <c r="I377" s="727">
        <f>+J357*G377+E377</f>
        <v>694987.9528395118</v>
      </c>
      <c r="J377" s="724">
        <f t="shared" si="34"/>
        <v>0</v>
      </c>
      <c r="K377" s="724"/>
      <c r="L377" s="728"/>
      <c r="M377" s="724">
        <f t="shared" si="35"/>
        <v>0</v>
      </c>
      <c r="N377" s="728"/>
      <c r="O377" s="724">
        <f t="shared" si="36"/>
        <v>0</v>
      </c>
      <c r="P377" s="724">
        <f t="shared" si="37"/>
        <v>0</v>
      </c>
      <c r="Q377" s="674"/>
    </row>
    <row r="378" spans="2:17">
      <c r="B378" s="330"/>
      <c r="C378" s="720">
        <f>IF(D355="","-",+C377+1)</f>
        <v>2030</v>
      </c>
      <c r="D378" s="673">
        <f t="shared" si="38"/>
        <v>3620084.8737689429</v>
      </c>
      <c r="E378" s="726">
        <f t="shared" si="39"/>
        <v>129674.68204545454</v>
      </c>
      <c r="F378" s="726">
        <f t="shared" si="32"/>
        <v>3490410.1917234883</v>
      </c>
      <c r="G378" s="673">
        <f t="shared" si="33"/>
        <v>3555247.5327462154</v>
      </c>
      <c r="H378" s="721">
        <f>+J356*G378+E378</f>
        <v>675094.23070013139</v>
      </c>
      <c r="I378" s="727">
        <f>+J357*G378+E378</f>
        <v>675094.23070013139</v>
      </c>
      <c r="J378" s="724">
        <f t="shared" si="34"/>
        <v>0</v>
      </c>
      <c r="K378" s="724"/>
      <c r="L378" s="728"/>
      <c r="M378" s="724">
        <f t="shared" si="35"/>
        <v>0</v>
      </c>
      <c r="N378" s="728"/>
      <c r="O378" s="724">
        <f t="shared" si="36"/>
        <v>0</v>
      </c>
      <c r="P378" s="724">
        <f t="shared" si="37"/>
        <v>0</v>
      </c>
      <c r="Q378" s="674"/>
    </row>
    <row r="379" spans="2:17">
      <c r="B379" s="330"/>
      <c r="C379" s="720">
        <f>IF(D355="","-",+C378+1)</f>
        <v>2031</v>
      </c>
      <c r="D379" s="673">
        <f t="shared" si="38"/>
        <v>3490410.1917234883</v>
      </c>
      <c r="E379" s="726">
        <f t="shared" si="39"/>
        <v>129674.68204545454</v>
      </c>
      <c r="F379" s="726">
        <f t="shared" si="32"/>
        <v>3360735.5096780336</v>
      </c>
      <c r="G379" s="673">
        <f t="shared" si="33"/>
        <v>3425572.8507007612</v>
      </c>
      <c r="H379" s="721">
        <f>+J356*G379+E379</f>
        <v>655200.5085607511</v>
      </c>
      <c r="I379" s="727">
        <f>+J357*G379+E379</f>
        <v>655200.5085607511</v>
      </c>
      <c r="J379" s="724">
        <f t="shared" si="34"/>
        <v>0</v>
      </c>
      <c r="K379" s="724"/>
      <c r="L379" s="728"/>
      <c r="M379" s="724">
        <f t="shared" si="35"/>
        <v>0</v>
      </c>
      <c r="N379" s="728"/>
      <c r="O379" s="724">
        <f t="shared" si="36"/>
        <v>0</v>
      </c>
      <c r="P379" s="724">
        <f t="shared" si="37"/>
        <v>0</v>
      </c>
      <c r="Q379" s="674"/>
    </row>
    <row r="380" spans="2:17">
      <c r="B380" s="330"/>
      <c r="C380" s="720">
        <f>IF(D355="","-",+C379+1)</f>
        <v>2032</v>
      </c>
      <c r="D380" s="673">
        <f t="shared" si="38"/>
        <v>3360735.5096780336</v>
      </c>
      <c r="E380" s="726">
        <f t="shared" si="39"/>
        <v>129674.68204545454</v>
      </c>
      <c r="F380" s="726">
        <f t="shared" si="32"/>
        <v>3231060.827632579</v>
      </c>
      <c r="G380" s="673">
        <f t="shared" si="33"/>
        <v>3295898.1686553061</v>
      </c>
      <c r="H380" s="721">
        <f>+J356*G380+E380</f>
        <v>635306.78642137081</v>
      </c>
      <c r="I380" s="727">
        <f>+J357*G380+E380</f>
        <v>635306.78642137081</v>
      </c>
      <c r="J380" s="724">
        <f t="shared" si="34"/>
        <v>0</v>
      </c>
      <c r="K380" s="724"/>
      <c r="L380" s="728"/>
      <c r="M380" s="724">
        <f t="shared" si="35"/>
        <v>0</v>
      </c>
      <c r="N380" s="728"/>
      <c r="O380" s="724">
        <f t="shared" si="36"/>
        <v>0</v>
      </c>
      <c r="P380" s="724">
        <f t="shared" si="37"/>
        <v>0</v>
      </c>
      <c r="Q380" s="674"/>
    </row>
    <row r="381" spans="2:17">
      <c r="B381" s="330"/>
      <c r="C381" s="720">
        <f>IF(D355="","-",+C380+1)</f>
        <v>2033</v>
      </c>
      <c r="D381" s="673">
        <f t="shared" si="38"/>
        <v>3231060.827632579</v>
      </c>
      <c r="E381" s="726">
        <f t="shared" si="39"/>
        <v>129674.68204545454</v>
      </c>
      <c r="F381" s="726">
        <f t="shared" si="32"/>
        <v>3101386.1455871244</v>
      </c>
      <c r="G381" s="673">
        <f t="shared" si="33"/>
        <v>3166223.4866098519</v>
      </c>
      <c r="H381" s="721">
        <f>+J356*G381+E381</f>
        <v>615413.06428199052</v>
      </c>
      <c r="I381" s="727">
        <f>+J357*G381+E381</f>
        <v>615413.06428199052</v>
      </c>
      <c r="J381" s="724">
        <f t="shared" si="34"/>
        <v>0</v>
      </c>
      <c r="K381" s="724"/>
      <c r="L381" s="728"/>
      <c r="M381" s="724">
        <f t="shared" si="35"/>
        <v>0</v>
      </c>
      <c r="N381" s="728"/>
      <c r="O381" s="724">
        <f t="shared" si="36"/>
        <v>0</v>
      </c>
      <c r="P381" s="724">
        <f t="shared" si="37"/>
        <v>0</v>
      </c>
      <c r="Q381" s="674"/>
    </row>
    <row r="382" spans="2:17">
      <c r="B382" s="330"/>
      <c r="C382" s="720">
        <f>IF(D355="","-",+C381+1)</f>
        <v>2034</v>
      </c>
      <c r="D382" s="673">
        <f t="shared" si="38"/>
        <v>3101386.1455871244</v>
      </c>
      <c r="E382" s="726">
        <f t="shared" si="39"/>
        <v>129674.68204545454</v>
      </c>
      <c r="F382" s="726">
        <f t="shared" si="32"/>
        <v>2971711.4635416698</v>
      </c>
      <c r="G382" s="673">
        <f t="shared" si="33"/>
        <v>3036548.8045643969</v>
      </c>
      <c r="H382" s="721">
        <f>+J356*G382+E382</f>
        <v>595519.34214261023</v>
      </c>
      <c r="I382" s="727">
        <f>+J357*G382+E382</f>
        <v>595519.34214261023</v>
      </c>
      <c r="J382" s="724">
        <f t="shared" si="34"/>
        <v>0</v>
      </c>
      <c r="K382" s="724"/>
      <c r="L382" s="728"/>
      <c r="M382" s="724">
        <f t="shared" si="35"/>
        <v>0</v>
      </c>
      <c r="N382" s="728"/>
      <c r="O382" s="724">
        <f t="shared" si="36"/>
        <v>0</v>
      </c>
      <c r="P382" s="724">
        <f t="shared" si="37"/>
        <v>0</v>
      </c>
      <c r="Q382" s="674"/>
    </row>
    <row r="383" spans="2:17">
      <c r="B383" s="330"/>
      <c r="C383" s="720">
        <f>IF(D355="","-",+C382+1)</f>
        <v>2035</v>
      </c>
      <c r="D383" s="673">
        <f t="shared" si="38"/>
        <v>2971711.4635416698</v>
      </c>
      <c r="E383" s="726">
        <f t="shared" si="39"/>
        <v>129674.68204545454</v>
      </c>
      <c r="F383" s="726">
        <f t="shared" si="32"/>
        <v>2842036.7814962151</v>
      </c>
      <c r="G383" s="673">
        <f t="shared" si="33"/>
        <v>2906874.1225189427</v>
      </c>
      <c r="H383" s="721">
        <f>+J356*G383+E383</f>
        <v>575625.62000322994</v>
      </c>
      <c r="I383" s="727">
        <f>+J357*G383+E383</f>
        <v>575625.62000322994</v>
      </c>
      <c r="J383" s="724">
        <f t="shared" si="34"/>
        <v>0</v>
      </c>
      <c r="K383" s="724"/>
      <c r="L383" s="728"/>
      <c r="M383" s="724">
        <f t="shared" si="35"/>
        <v>0</v>
      </c>
      <c r="N383" s="728"/>
      <c r="O383" s="724">
        <f t="shared" si="36"/>
        <v>0</v>
      </c>
      <c r="P383" s="724">
        <f t="shared" si="37"/>
        <v>0</v>
      </c>
      <c r="Q383" s="674"/>
    </row>
    <row r="384" spans="2:17">
      <c r="B384" s="330"/>
      <c r="C384" s="720">
        <f>IF(D355="","-",+C383+1)</f>
        <v>2036</v>
      </c>
      <c r="D384" s="673">
        <f t="shared" si="38"/>
        <v>2842036.7814962151</v>
      </c>
      <c r="E384" s="726">
        <f t="shared" si="39"/>
        <v>129674.68204545454</v>
      </c>
      <c r="F384" s="726">
        <f t="shared" si="32"/>
        <v>2712362.0994507605</v>
      </c>
      <c r="G384" s="673">
        <f t="shared" si="33"/>
        <v>2777199.4404734876</v>
      </c>
      <c r="H384" s="721">
        <f>+J356*G384+E384</f>
        <v>555731.89786384953</v>
      </c>
      <c r="I384" s="727">
        <f>+J357*G384+E384</f>
        <v>555731.89786384953</v>
      </c>
      <c r="J384" s="724">
        <f t="shared" si="34"/>
        <v>0</v>
      </c>
      <c r="K384" s="724"/>
      <c r="L384" s="728"/>
      <c r="M384" s="724">
        <f t="shared" si="35"/>
        <v>0</v>
      </c>
      <c r="N384" s="728"/>
      <c r="O384" s="724">
        <f t="shared" si="36"/>
        <v>0</v>
      </c>
      <c r="P384" s="724">
        <f t="shared" si="37"/>
        <v>0</v>
      </c>
      <c r="Q384" s="674"/>
    </row>
    <row r="385" spans="2:17">
      <c r="B385" s="330"/>
      <c r="C385" s="720">
        <f>IF(D355="","-",+C384+1)</f>
        <v>2037</v>
      </c>
      <c r="D385" s="673">
        <f t="shared" si="38"/>
        <v>2712362.0994507605</v>
      </c>
      <c r="E385" s="726">
        <f t="shared" si="39"/>
        <v>129674.68204545454</v>
      </c>
      <c r="F385" s="726">
        <f t="shared" si="32"/>
        <v>2582687.4174053059</v>
      </c>
      <c r="G385" s="673">
        <f t="shared" si="33"/>
        <v>2647524.7584280334</v>
      </c>
      <c r="H385" s="721">
        <f>+J356*G385+E385</f>
        <v>535838.17572446936</v>
      </c>
      <c r="I385" s="727">
        <f>+J357*G385+E385</f>
        <v>535838.17572446936</v>
      </c>
      <c r="J385" s="724">
        <f t="shared" si="34"/>
        <v>0</v>
      </c>
      <c r="K385" s="724"/>
      <c r="L385" s="728"/>
      <c r="M385" s="724">
        <f t="shared" si="35"/>
        <v>0</v>
      </c>
      <c r="N385" s="728"/>
      <c r="O385" s="724">
        <f t="shared" si="36"/>
        <v>0</v>
      </c>
      <c r="P385" s="724">
        <f t="shared" si="37"/>
        <v>0</v>
      </c>
      <c r="Q385" s="674"/>
    </row>
    <row r="386" spans="2:17">
      <c r="B386" s="330"/>
      <c r="C386" s="720">
        <f>IF(D355="","-",+C385+1)</f>
        <v>2038</v>
      </c>
      <c r="D386" s="673">
        <f t="shared" si="38"/>
        <v>2582687.4174053059</v>
      </c>
      <c r="E386" s="726">
        <f t="shared" si="39"/>
        <v>129674.68204545454</v>
      </c>
      <c r="F386" s="726">
        <f t="shared" si="32"/>
        <v>2453012.7353598513</v>
      </c>
      <c r="G386" s="673">
        <f t="shared" si="33"/>
        <v>2517850.0763825784</v>
      </c>
      <c r="H386" s="721">
        <f>+J356*G386+E386</f>
        <v>515944.45358508895</v>
      </c>
      <c r="I386" s="727">
        <f>+J357*G386+E386</f>
        <v>515944.45358508895</v>
      </c>
      <c r="J386" s="724">
        <f t="shared" si="34"/>
        <v>0</v>
      </c>
      <c r="K386" s="724"/>
      <c r="L386" s="728"/>
      <c r="M386" s="724">
        <f t="shared" si="35"/>
        <v>0</v>
      </c>
      <c r="N386" s="728"/>
      <c r="O386" s="724">
        <f t="shared" si="36"/>
        <v>0</v>
      </c>
      <c r="P386" s="724">
        <f t="shared" si="37"/>
        <v>0</v>
      </c>
      <c r="Q386" s="674"/>
    </row>
    <row r="387" spans="2:17">
      <c r="B387" s="330"/>
      <c r="C387" s="720">
        <f>IF(D355="","-",+C386+1)</f>
        <v>2039</v>
      </c>
      <c r="D387" s="673">
        <f t="shared" si="38"/>
        <v>2453012.7353598513</v>
      </c>
      <c r="E387" s="726">
        <f t="shared" si="39"/>
        <v>129674.68204545454</v>
      </c>
      <c r="F387" s="726">
        <f t="shared" si="32"/>
        <v>2323338.0533143966</v>
      </c>
      <c r="G387" s="673">
        <f t="shared" si="33"/>
        <v>2388175.3943371242</v>
      </c>
      <c r="H387" s="721">
        <f>+J356*G387+E387</f>
        <v>496050.73144570878</v>
      </c>
      <c r="I387" s="727">
        <f>+J357*G387+E387</f>
        <v>496050.73144570878</v>
      </c>
      <c r="J387" s="724">
        <f t="shared" si="34"/>
        <v>0</v>
      </c>
      <c r="K387" s="724"/>
      <c r="L387" s="728"/>
      <c r="M387" s="724">
        <f t="shared" si="35"/>
        <v>0</v>
      </c>
      <c r="N387" s="728"/>
      <c r="O387" s="724">
        <f t="shared" si="36"/>
        <v>0</v>
      </c>
      <c r="P387" s="724">
        <f t="shared" si="37"/>
        <v>0</v>
      </c>
      <c r="Q387" s="674"/>
    </row>
    <row r="388" spans="2:17">
      <c r="B388" s="330"/>
      <c r="C388" s="720">
        <f>IF(D355="","-",+C387+1)</f>
        <v>2040</v>
      </c>
      <c r="D388" s="673">
        <f t="shared" si="38"/>
        <v>2323338.0533143966</v>
      </c>
      <c r="E388" s="726">
        <f t="shared" si="39"/>
        <v>129674.68204545454</v>
      </c>
      <c r="F388" s="726">
        <f t="shared" si="32"/>
        <v>2193663.371268942</v>
      </c>
      <c r="G388" s="673">
        <f t="shared" si="33"/>
        <v>2258500.7122916691</v>
      </c>
      <c r="H388" s="721">
        <f>+J356*G388+E388</f>
        <v>476157.00930632837</v>
      </c>
      <c r="I388" s="727">
        <f>+J357*G388+E388</f>
        <v>476157.00930632837</v>
      </c>
      <c r="J388" s="724">
        <f t="shared" si="34"/>
        <v>0</v>
      </c>
      <c r="K388" s="724"/>
      <c r="L388" s="728"/>
      <c r="M388" s="724">
        <f t="shared" si="35"/>
        <v>0</v>
      </c>
      <c r="N388" s="728"/>
      <c r="O388" s="724">
        <f t="shared" si="36"/>
        <v>0</v>
      </c>
      <c r="P388" s="724">
        <f t="shared" si="37"/>
        <v>0</v>
      </c>
      <c r="Q388" s="674"/>
    </row>
    <row r="389" spans="2:17">
      <c r="B389" s="330"/>
      <c r="C389" s="720">
        <f>IF(D355="","-",+C388+1)</f>
        <v>2041</v>
      </c>
      <c r="D389" s="673">
        <f t="shared" si="38"/>
        <v>2193663.371268942</v>
      </c>
      <c r="E389" s="726">
        <f t="shared" si="39"/>
        <v>129674.68204545454</v>
      </c>
      <c r="F389" s="726">
        <f t="shared" si="32"/>
        <v>2063988.6892234874</v>
      </c>
      <c r="G389" s="673">
        <f t="shared" si="33"/>
        <v>2128826.0302462149</v>
      </c>
      <c r="H389" s="721">
        <f>+J356*G389+E389</f>
        <v>456263.28716694808</v>
      </c>
      <c r="I389" s="727">
        <f>+J357*G389+E389</f>
        <v>456263.28716694808</v>
      </c>
      <c r="J389" s="724">
        <f t="shared" si="34"/>
        <v>0</v>
      </c>
      <c r="K389" s="724"/>
      <c r="L389" s="728"/>
      <c r="M389" s="724">
        <f t="shared" si="35"/>
        <v>0</v>
      </c>
      <c r="N389" s="728"/>
      <c r="O389" s="724">
        <f t="shared" si="36"/>
        <v>0</v>
      </c>
      <c r="P389" s="724">
        <f t="shared" si="37"/>
        <v>0</v>
      </c>
      <c r="Q389" s="674"/>
    </row>
    <row r="390" spans="2:17">
      <c r="B390" s="330"/>
      <c r="C390" s="720">
        <f>IF(D355="","-",+C389+1)</f>
        <v>2042</v>
      </c>
      <c r="D390" s="673">
        <f t="shared" si="38"/>
        <v>2063988.6892234874</v>
      </c>
      <c r="E390" s="726">
        <f t="shared" si="39"/>
        <v>129674.68204545454</v>
      </c>
      <c r="F390" s="726">
        <f t="shared" si="32"/>
        <v>1934314.0071780328</v>
      </c>
      <c r="G390" s="673">
        <f t="shared" si="33"/>
        <v>1999151.3482007601</v>
      </c>
      <c r="H390" s="721">
        <f>+J356*G390+E390</f>
        <v>436369.56502756779</v>
      </c>
      <c r="I390" s="727">
        <f>+J357*G390+E390</f>
        <v>436369.56502756779</v>
      </c>
      <c r="J390" s="724">
        <f t="shared" si="34"/>
        <v>0</v>
      </c>
      <c r="K390" s="724"/>
      <c r="L390" s="728"/>
      <c r="M390" s="724">
        <f t="shared" si="35"/>
        <v>0</v>
      </c>
      <c r="N390" s="728"/>
      <c r="O390" s="724">
        <f t="shared" si="36"/>
        <v>0</v>
      </c>
      <c r="P390" s="724">
        <f t="shared" si="37"/>
        <v>0</v>
      </c>
      <c r="Q390" s="674"/>
    </row>
    <row r="391" spans="2:17">
      <c r="B391" s="330"/>
      <c r="C391" s="720">
        <f>IF(D355="","-",+C390+1)</f>
        <v>2043</v>
      </c>
      <c r="D391" s="673">
        <f t="shared" si="38"/>
        <v>1934314.0071780328</v>
      </c>
      <c r="E391" s="726">
        <f t="shared" si="39"/>
        <v>129674.68204545454</v>
      </c>
      <c r="F391" s="726">
        <f t="shared" si="32"/>
        <v>1804639.3251325781</v>
      </c>
      <c r="G391" s="673">
        <f t="shared" si="33"/>
        <v>1869476.6661553055</v>
      </c>
      <c r="H391" s="721">
        <f>+J356*G391+E391</f>
        <v>416475.8428881875</v>
      </c>
      <c r="I391" s="727">
        <f>+J357*G391+E391</f>
        <v>416475.8428881875</v>
      </c>
      <c r="J391" s="724">
        <f t="shared" si="34"/>
        <v>0</v>
      </c>
      <c r="K391" s="724"/>
      <c r="L391" s="728"/>
      <c r="M391" s="724">
        <f t="shared" si="35"/>
        <v>0</v>
      </c>
      <c r="N391" s="728"/>
      <c r="O391" s="724">
        <f t="shared" si="36"/>
        <v>0</v>
      </c>
      <c r="P391" s="724">
        <f t="shared" si="37"/>
        <v>0</v>
      </c>
      <c r="Q391" s="674"/>
    </row>
    <row r="392" spans="2:17">
      <c r="B392" s="330"/>
      <c r="C392" s="720">
        <f>IF(D355="","-",+C391+1)</f>
        <v>2044</v>
      </c>
      <c r="D392" s="673">
        <f t="shared" si="38"/>
        <v>1804639.3251325781</v>
      </c>
      <c r="E392" s="726">
        <f t="shared" si="39"/>
        <v>129674.68204545454</v>
      </c>
      <c r="F392" s="726">
        <f t="shared" si="32"/>
        <v>1674964.6430871235</v>
      </c>
      <c r="G392" s="673">
        <f t="shared" si="33"/>
        <v>1739801.9841098508</v>
      </c>
      <c r="H392" s="721">
        <f>+J356*G392+E392</f>
        <v>396582.12074880721</v>
      </c>
      <c r="I392" s="727">
        <f>+J357*G392+E392</f>
        <v>396582.12074880721</v>
      </c>
      <c r="J392" s="724">
        <f t="shared" si="34"/>
        <v>0</v>
      </c>
      <c r="K392" s="724"/>
      <c r="L392" s="728"/>
      <c r="M392" s="724">
        <f t="shared" si="35"/>
        <v>0</v>
      </c>
      <c r="N392" s="728"/>
      <c r="O392" s="724">
        <f t="shared" si="36"/>
        <v>0</v>
      </c>
      <c r="P392" s="724">
        <f t="shared" si="37"/>
        <v>0</v>
      </c>
      <c r="Q392" s="674"/>
    </row>
    <row r="393" spans="2:17">
      <c r="B393" s="330"/>
      <c r="C393" s="720">
        <f>IF(D355="","-",+C392+1)</f>
        <v>2045</v>
      </c>
      <c r="D393" s="673">
        <f t="shared" si="38"/>
        <v>1674964.6430871235</v>
      </c>
      <c r="E393" s="726">
        <f t="shared" si="39"/>
        <v>129674.68204545454</v>
      </c>
      <c r="F393" s="726">
        <f t="shared" si="32"/>
        <v>1545289.9610416689</v>
      </c>
      <c r="G393" s="673">
        <f t="shared" si="33"/>
        <v>1610127.3020643962</v>
      </c>
      <c r="H393" s="721">
        <f>+J356*G393+E393</f>
        <v>376688.39860942686</v>
      </c>
      <c r="I393" s="727">
        <f>+J357*G393+E393</f>
        <v>376688.39860942686</v>
      </c>
      <c r="J393" s="724">
        <f t="shared" si="34"/>
        <v>0</v>
      </c>
      <c r="K393" s="724"/>
      <c r="L393" s="728"/>
      <c r="M393" s="724">
        <f t="shared" si="35"/>
        <v>0</v>
      </c>
      <c r="N393" s="728"/>
      <c r="O393" s="724">
        <f t="shared" si="36"/>
        <v>0</v>
      </c>
      <c r="P393" s="724">
        <f t="shared" si="37"/>
        <v>0</v>
      </c>
      <c r="Q393" s="674"/>
    </row>
    <row r="394" spans="2:17">
      <c r="B394" s="330"/>
      <c r="C394" s="720">
        <f>IF(D355="","-",+C393+1)</f>
        <v>2046</v>
      </c>
      <c r="D394" s="673">
        <f t="shared" si="38"/>
        <v>1545289.9610416689</v>
      </c>
      <c r="E394" s="726">
        <f t="shared" si="39"/>
        <v>129674.68204545454</v>
      </c>
      <c r="F394" s="726">
        <f t="shared" si="32"/>
        <v>1415615.2789962143</v>
      </c>
      <c r="G394" s="673">
        <f t="shared" si="33"/>
        <v>1480452.6200189416</v>
      </c>
      <c r="H394" s="721">
        <f>+J356*G394+E394</f>
        <v>356794.67647004657</v>
      </c>
      <c r="I394" s="727">
        <f>+J357*G394+E394</f>
        <v>356794.67647004657</v>
      </c>
      <c r="J394" s="724">
        <f t="shared" si="34"/>
        <v>0</v>
      </c>
      <c r="K394" s="724"/>
      <c r="L394" s="728"/>
      <c r="M394" s="724">
        <f t="shared" si="35"/>
        <v>0</v>
      </c>
      <c r="N394" s="728"/>
      <c r="O394" s="724">
        <f t="shared" si="36"/>
        <v>0</v>
      </c>
      <c r="P394" s="724">
        <f t="shared" si="37"/>
        <v>0</v>
      </c>
      <c r="Q394" s="674"/>
    </row>
    <row r="395" spans="2:17">
      <c r="B395" s="330"/>
      <c r="C395" s="720">
        <f>IF(D355="","-",+C394+1)</f>
        <v>2047</v>
      </c>
      <c r="D395" s="673">
        <f t="shared" si="38"/>
        <v>1415615.2789962143</v>
      </c>
      <c r="E395" s="726">
        <f t="shared" si="39"/>
        <v>129674.68204545454</v>
      </c>
      <c r="F395" s="726">
        <f t="shared" si="32"/>
        <v>1285940.5969507596</v>
      </c>
      <c r="G395" s="673">
        <f t="shared" si="33"/>
        <v>1350777.937973487</v>
      </c>
      <c r="H395" s="721">
        <f>+J356*G395+E395</f>
        <v>336900.95433066622</v>
      </c>
      <c r="I395" s="727">
        <f>+J357*G395+E395</f>
        <v>336900.95433066622</v>
      </c>
      <c r="J395" s="724">
        <f t="shared" si="34"/>
        <v>0</v>
      </c>
      <c r="K395" s="724"/>
      <c r="L395" s="728"/>
      <c r="M395" s="724">
        <f t="shared" si="35"/>
        <v>0</v>
      </c>
      <c r="N395" s="728"/>
      <c r="O395" s="724">
        <f t="shared" si="36"/>
        <v>0</v>
      </c>
      <c r="P395" s="724">
        <f t="shared" si="37"/>
        <v>0</v>
      </c>
      <c r="Q395" s="674"/>
    </row>
    <row r="396" spans="2:17">
      <c r="B396" s="330"/>
      <c r="C396" s="720">
        <f>IF(D355="","-",+C395+1)</f>
        <v>2048</v>
      </c>
      <c r="D396" s="673">
        <f t="shared" si="38"/>
        <v>1285940.5969507596</v>
      </c>
      <c r="E396" s="726">
        <f t="shared" si="39"/>
        <v>129674.68204545454</v>
      </c>
      <c r="F396" s="726">
        <f t="shared" si="32"/>
        <v>1156265.914905305</v>
      </c>
      <c r="G396" s="673">
        <f t="shared" si="33"/>
        <v>1221103.2559280323</v>
      </c>
      <c r="H396" s="721">
        <f>+J356*G396+E396</f>
        <v>317007.23219128593</v>
      </c>
      <c r="I396" s="727">
        <f>+J357*G396+E396</f>
        <v>317007.23219128593</v>
      </c>
      <c r="J396" s="724">
        <f t="shared" si="34"/>
        <v>0</v>
      </c>
      <c r="K396" s="724"/>
      <c r="L396" s="728"/>
      <c r="M396" s="724">
        <f t="shared" si="35"/>
        <v>0</v>
      </c>
      <c r="N396" s="728"/>
      <c r="O396" s="724">
        <f t="shared" si="36"/>
        <v>0</v>
      </c>
      <c r="P396" s="724">
        <f t="shared" si="37"/>
        <v>0</v>
      </c>
      <c r="Q396" s="674"/>
    </row>
    <row r="397" spans="2:17">
      <c r="B397" s="330"/>
      <c r="C397" s="720">
        <f>IF(D355="","-",+C396+1)</f>
        <v>2049</v>
      </c>
      <c r="D397" s="673">
        <f t="shared" si="38"/>
        <v>1156265.914905305</v>
      </c>
      <c r="E397" s="726">
        <f t="shared" si="39"/>
        <v>129674.68204545454</v>
      </c>
      <c r="F397" s="726">
        <f t="shared" si="32"/>
        <v>1026591.2328598505</v>
      </c>
      <c r="G397" s="673">
        <f t="shared" si="33"/>
        <v>1091428.5738825777</v>
      </c>
      <c r="H397" s="721">
        <f>+J356*G397+E397</f>
        <v>297113.51005190564</v>
      </c>
      <c r="I397" s="727">
        <f>+J357*G397+E397</f>
        <v>297113.51005190564</v>
      </c>
      <c r="J397" s="724">
        <f t="shared" si="34"/>
        <v>0</v>
      </c>
      <c r="K397" s="724"/>
      <c r="L397" s="728"/>
      <c r="M397" s="724">
        <f t="shared" si="35"/>
        <v>0</v>
      </c>
      <c r="N397" s="728"/>
      <c r="O397" s="724">
        <f t="shared" si="36"/>
        <v>0</v>
      </c>
      <c r="P397" s="724">
        <f t="shared" si="37"/>
        <v>0</v>
      </c>
      <c r="Q397" s="674"/>
    </row>
    <row r="398" spans="2:17">
      <c r="B398" s="330"/>
      <c r="C398" s="720">
        <f>IF(D355="","-",+C397+1)</f>
        <v>2050</v>
      </c>
      <c r="D398" s="673">
        <f t="shared" si="38"/>
        <v>1026591.2328598505</v>
      </c>
      <c r="E398" s="726">
        <f t="shared" si="39"/>
        <v>129674.68204545454</v>
      </c>
      <c r="F398" s="726">
        <f t="shared" si="32"/>
        <v>896916.550814396</v>
      </c>
      <c r="G398" s="673">
        <f t="shared" si="33"/>
        <v>961753.89183712332</v>
      </c>
      <c r="H398" s="721">
        <f>+J356*G398+E398</f>
        <v>277219.78791252535</v>
      </c>
      <c r="I398" s="727">
        <f>+J357*G398+E398</f>
        <v>277219.78791252535</v>
      </c>
      <c r="J398" s="724">
        <f t="shared" si="34"/>
        <v>0</v>
      </c>
      <c r="K398" s="724"/>
      <c r="L398" s="728"/>
      <c r="M398" s="724">
        <f t="shared" si="35"/>
        <v>0</v>
      </c>
      <c r="N398" s="728"/>
      <c r="O398" s="724">
        <f t="shared" si="36"/>
        <v>0</v>
      </c>
      <c r="P398" s="724">
        <f t="shared" si="37"/>
        <v>0</v>
      </c>
      <c r="Q398" s="674"/>
    </row>
    <row r="399" spans="2:17">
      <c r="B399" s="330"/>
      <c r="C399" s="720">
        <f>IF(D355="","-",+C398+1)</f>
        <v>2051</v>
      </c>
      <c r="D399" s="673">
        <f t="shared" si="38"/>
        <v>896916.550814396</v>
      </c>
      <c r="E399" s="726">
        <f t="shared" si="39"/>
        <v>129674.68204545454</v>
      </c>
      <c r="F399" s="726">
        <f t="shared" si="32"/>
        <v>767241.86876894149</v>
      </c>
      <c r="G399" s="673">
        <f t="shared" si="33"/>
        <v>832079.20979166869</v>
      </c>
      <c r="H399" s="721">
        <f>+J356*G399+E399</f>
        <v>257326.06577314506</v>
      </c>
      <c r="I399" s="727">
        <f>+J357*G399+E399</f>
        <v>257326.06577314506</v>
      </c>
      <c r="J399" s="724">
        <f t="shared" si="34"/>
        <v>0</v>
      </c>
      <c r="K399" s="724"/>
      <c r="L399" s="728"/>
      <c r="M399" s="724">
        <f t="shared" si="35"/>
        <v>0</v>
      </c>
      <c r="N399" s="728"/>
      <c r="O399" s="724">
        <f t="shared" si="36"/>
        <v>0</v>
      </c>
      <c r="P399" s="724">
        <f t="shared" si="37"/>
        <v>0</v>
      </c>
      <c r="Q399" s="674"/>
    </row>
    <row r="400" spans="2:17">
      <c r="B400" s="330"/>
      <c r="C400" s="720">
        <f>IF(D355="","-",+C399+1)</f>
        <v>2052</v>
      </c>
      <c r="D400" s="673">
        <f t="shared" si="38"/>
        <v>767241.86876894149</v>
      </c>
      <c r="E400" s="726">
        <f t="shared" si="39"/>
        <v>129674.68204545454</v>
      </c>
      <c r="F400" s="726">
        <f t="shared" si="32"/>
        <v>637567.18672348699</v>
      </c>
      <c r="G400" s="673">
        <f t="shared" si="33"/>
        <v>702404.5277462143</v>
      </c>
      <c r="H400" s="721">
        <f>+J356*G400+E400</f>
        <v>237432.3436337648</v>
      </c>
      <c r="I400" s="727">
        <f>+J357*G400+E400</f>
        <v>237432.3436337648</v>
      </c>
      <c r="J400" s="724">
        <f t="shared" si="34"/>
        <v>0</v>
      </c>
      <c r="K400" s="724"/>
      <c r="L400" s="728"/>
      <c r="M400" s="724">
        <f t="shared" si="35"/>
        <v>0</v>
      </c>
      <c r="N400" s="728"/>
      <c r="O400" s="724">
        <f t="shared" si="36"/>
        <v>0</v>
      </c>
      <c r="P400" s="724">
        <f t="shared" si="37"/>
        <v>0</v>
      </c>
      <c r="Q400" s="674"/>
    </row>
    <row r="401" spans="2:17">
      <c r="B401" s="330"/>
      <c r="C401" s="720">
        <f>IF(D355="","-",+C400+1)</f>
        <v>2053</v>
      </c>
      <c r="D401" s="673">
        <f t="shared" si="38"/>
        <v>637567.18672348699</v>
      </c>
      <c r="E401" s="726">
        <f t="shared" si="39"/>
        <v>129674.68204545454</v>
      </c>
      <c r="F401" s="726">
        <f t="shared" si="32"/>
        <v>507892.50467803248</v>
      </c>
      <c r="G401" s="673">
        <f t="shared" si="33"/>
        <v>572729.84570075967</v>
      </c>
      <c r="H401" s="721">
        <f>+J356*G401+E401</f>
        <v>217538.62149438448</v>
      </c>
      <c r="I401" s="727">
        <f>+J357*G401+E401</f>
        <v>217538.62149438448</v>
      </c>
      <c r="J401" s="724">
        <f t="shared" si="34"/>
        <v>0</v>
      </c>
      <c r="K401" s="724"/>
      <c r="L401" s="728"/>
      <c r="M401" s="724">
        <f t="shared" si="35"/>
        <v>0</v>
      </c>
      <c r="N401" s="728"/>
      <c r="O401" s="724">
        <f t="shared" si="36"/>
        <v>0</v>
      </c>
      <c r="P401" s="724">
        <f t="shared" si="37"/>
        <v>0</v>
      </c>
      <c r="Q401" s="674"/>
    </row>
    <row r="402" spans="2:17">
      <c r="B402" s="330"/>
      <c r="C402" s="720">
        <f>IF(D355="","-",+C401+1)</f>
        <v>2054</v>
      </c>
      <c r="D402" s="673">
        <f t="shared" si="38"/>
        <v>507892.50467803248</v>
      </c>
      <c r="E402" s="726">
        <f t="shared" si="39"/>
        <v>129674.68204545454</v>
      </c>
      <c r="F402" s="726">
        <f t="shared" si="32"/>
        <v>378217.82263257797</v>
      </c>
      <c r="G402" s="673">
        <f t="shared" si="33"/>
        <v>443055.16365530522</v>
      </c>
      <c r="H402" s="721">
        <f>+J356*G402+E402</f>
        <v>197644.89935500419</v>
      </c>
      <c r="I402" s="727">
        <f>+J357*G402+E402</f>
        <v>197644.89935500419</v>
      </c>
      <c r="J402" s="724">
        <f t="shared" si="34"/>
        <v>0</v>
      </c>
      <c r="K402" s="724"/>
      <c r="L402" s="728"/>
      <c r="M402" s="724">
        <f t="shared" si="35"/>
        <v>0</v>
      </c>
      <c r="N402" s="728"/>
      <c r="O402" s="724">
        <f t="shared" si="36"/>
        <v>0</v>
      </c>
      <c r="P402" s="724">
        <f t="shared" si="37"/>
        <v>0</v>
      </c>
      <c r="Q402" s="674"/>
    </row>
    <row r="403" spans="2:17">
      <c r="B403" s="330"/>
      <c r="C403" s="720">
        <f>IF(D355="","-",+C402+1)</f>
        <v>2055</v>
      </c>
      <c r="D403" s="673">
        <f t="shared" si="38"/>
        <v>378217.82263257797</v>
      </c>
      <c r="E403" s="726">
        <f t="shared" si="39"/>
        <v>129674.68204545454</v>
      </c>
      <c r="F403" s="726">
        <f t="shared" si="32"/>
        <v>248543.14058712343</v>
      </c>
      <c r="G403" s="673">
        <f t="shared" si="33"/>
        <v>313380.48160985071</v>
      </c>
      <c r="H403" s="721">
        <f>+J356*G403+E403</f>
        <v>177751.17721562393</v>
      </c>
      <c r="I403" s="727">
        <f>+J357*G403+E403</f>
        <v>177751.17721562393</v>
      </c>
      <c r="J403" s="724">
        <f t="shared" si="34"/>
        <v>0</v>
      </c>
      <c r="K403" s="724"/>
      <c r="L403" s="728"/>
      <c r="M403" s="724">
        <f t="shared" si="35"/>
        <v>0</v>
      </c>
      <c r="N403" s="728"/>
      <c r="O403" s="724">
        <f t="shared" si="36"/>
        <v>0</v>
      </c>
      <c r="P403" s="724">
        <f t="shared" si="37"/>
        <v>0</v>
      </c>
      <c r="Q403" s="674"/>
    </row>
    <row r="404" spans="2:17">
      <c r="B404" s="330"/>
      <c r="C404" s="720">
        <f>IF(D355="","-",+C403+1)</f>
        <v>2056</v>
      </c>
      <c r="D404" s="673">
        <f t="shared" si="38"/>
        <v>248543.14058712343</v>
      </c>
      <c r="E404" s="726">
        <f t="shared" si="39"/>
        <v>129674.68204545454</v>
      </c>
      <c r="F404" s="726">
        <f t="shared" si="32"/>
        <v>118868.45854166889</v>
      </c>
      <c r="G404" s="673">
        <f t="shared" si="33"/>
        <v>183705.79956439615</v>
      </c>
      <c r="H404" s="721">
        <f>+J356*G404+E404</f>
        <v>157857.45507624361</v>
      </c>
      <c r="I404" s="727">
        <f>+J357*G404+E404</f>
        <v>157857.45507624361</v>
      </c>
      <c r="J404" s="724">
        <f t="shared" si="34"/>
        <v>0</v>
      </c>
      <c r="K404" s="724"/>
      <c r="L404" s="728"/>
      <c r="M404" s="724">
        <f t="shared" si="35"/>
        <v>0</v>
      </c>
      <c r="N404" s="728"/>
      <c r="O404" s="724">
        <f t="shared" si="36"/>
        <v>0</v>
      </c>
      <c r="P404" s="724">
        <f t="shared" si="37"/>
        <v>0</v>
      </c>
      <c r="Q404" s="674"/>
    </row>
    <row r="405" spans="2:17">
      <c r="B405" s="330"/>
      <c r="C405" s="720">
        <f>IF(D355="","-",+C404+1)</f>
        <v>2057</v>
      </c>
      <c r="D405" s="673">
        <f t="shared" si="38"/>
        <v>118868.45854166889</v>
      </c>
      <c r="E405" s="726">
        <f t="shared" si="39"/>
        <v>118868.45854166889</v>
      </c>
      <c r="F405" s="726">
        <f t="shared" si="32"/>
        <v>0</v>
      </c>
      <c r="G405" s="673">
        <f t="shared" si="33"/>
        <v>59434.229270834447</v>
      </c>
      <c r="H405" s="721">
        <f>+J356*G405+E405</f>
        <v>127986.41452221837</v>
      </c>
      <c r="I405" s="727">
        <f>+J357*G405+E405</f>
        <v>127986.41452221837</v>
      </c>
      <c r="J405" s="724">
        <f t="shared" si="34"/>
        <v>0</v>
      </c>
      <c r="K405" s="724"/>
      <c r="L405" s="728"/>
      <c r="M405" s="724">
        <f t="shared" si="35"/>
        <v>0</v>
      </c>
      <c r="N405" s="728"/>
      <c r="O405" s="724">
        <f t="shared" si="36"/>
        <v>0</v>
      </c>
      <c r="P405" s="724">
        <f t="shared" si="37"/>
        <v>0</v>
      </c>
      <c r="Q405" s="674"/>
    </row>
    <row r="406" spans="2:17">
      <c r="B406" s="330"/>
      <c r="C406" s="720">
        <f>IF(D355="","-",+C405+1)</f>
        <v>2058</v>
      </c>
      <c r="D406" s="673">
        <f t="shared" si="38"/>
        <v>0</v>
      </c>
      <c r="E406" s="726">
        <f t="shared" si="39"/>
        <v>0</v>
      </c>
      <c r="F406" s="726">
        <f t="shared" si="32"/>
        <v>0</v>
      </c>
      <c r="G406" s="673">
        <f t="shared" si="33"/>
        <v>0</v>
      </c>
      <c r="H406" s="721">
        <f>+J356*G406+E406</f>
        <v>0</v>
      </c>
      <c r="I406" s="727">
        <f>+J357*G406+E406</f>
        <v>0</v>
      </c>
      <c r="J406" s="724">
        <f t="shared" si="34"/>
        <v>0</v>
      </c>
      <c r="K406" s="724"/>
      <c r="L406" s="728"/>
      <c r="M406" s="724">
        <f t="shared" si="35"/>
        <v>0</v>
      </c>
      <c r="N406" s="728"/>
      <c r="O406" s="724">
        <f t="shared" si="36"/>
        <v>0</v>
      </c>
      <c r="P406" s="724">
        <f t="shared" si="37"/>
        <v>0</v>
      </c>
      <c r="Q406" s="674"/>
    </row>
    <row r="407" spans="2:17">
      <c r="B407" s="330"/>
      <c r="C407" s="720">
        <f>IF(D355="","-",+C406+1)</f>
        <v>2059</v>
      </c>
      <c r="D407" s="673">
        <f t="shared" si="38"/>
        <v>0</v>
      </c>
      <c r="E407" s="726">
        <f t="shared" si="39"/>
        <v>0</v>
      </c>
      <c r="F407" s="726">
        <f t="shared" si="32"/>
        <v>0</v>
      </c>
      <c r="G407" s="673">
        <f t="shared" si="33"/>
        <v>0</v>
      </c>
      <c r="H407" s="721">
        <f>+J356*G407+E407</f>
        <v>0</v>
      </c>
      <c r="I407" s="727">
        <f>+J357*G407+E407</f>
        <v>0</v>
      </c>
      <c r="J407" s="724">
        <f t="shared" si="34"/>
        <v>0</v>
      </c>
      <c r="K407" s="724"/>
      <c r="L407" s="728"/>
      <c r="M407" s="724">
        <f t="shared" si="35"/>
        <v>0</v>
      </c>
      <c r="N407" s="728"/>
      <c r="O407" s="724">
        <f t="shared" si="36"/>
        <v>0</v>
      </c>
      <c r="P407" s="724">
        <f t="shared" si="37"/>
        <v>0</v>
      </c>
      <c r="Q407" s="674"/>
    </row>
    <row r="408" spans="2:17">
      <c r="B408" s="330"/>
      <c r="C408" s="720">
        <f>IF(D355="","-",+C407+1)</f>
        <v>2060</v>
      </c>
      <c r="D408" s="673">
        <f t="shared" si="38"/>
        <v>0</v>
      </c>
      <c r="E408" s="726">
        <f t="shared" si="39"/>
        <v>0</v>
      </c>
      <c r="F408" s="726">
        <f t="shared" si="32"/>
        <v>0</v>
      </c>
      <c r="G408" s="673">
        <f t="shared" si="33"/>
        <v>0</v>
      </c>
      <c r="H408" s="721">
        <f>+J356*G408+E408</f>
        <v>0</v>
      </c>
      <c r="I408" s="727">
        <f>+J357*G408+E408</f>
        <v>0</v>
      </c>
      <c r="J408" s="724">
        <f t="shared" si="34"/>
        <v>0</v>
      </c>
      <c r="K408" s="724"/>
      <c r="L408" s="728"/>
      <c r="M408" s="724">
        <f t="shared" si="35"/>
        <v>0</v>
      </c>
      <c r="N408" s="728"/>
      <c r="O408" s="724">
        <f t="shared" si="36"/>
        <v>0</v>
      </c>
      <c r="P408" s="724">
        <f t="shared" si="37"/>
        <v>0</v>
      </c>
      <c r="Q408" s="674"/>
    </row>
    <row r="409" spans="2:17">
      <c r="B409" s="330"/>
      <c r="C409" s="720">
        <f>IF(D355="","-",+C408+1)</f>
        <v>2061</v>
      </c>
      <c r="D409" s="673">
        <f t="shared" si="38"/>
        <v>0</v>
      </c>
      <c r="E409" s="726">
        <f t="shared" si="39"/>
        <v>0</v>
      </c>
      <c r="F409" s="726">
        <f t="shared" si="32"/>
        <v>0</v>
      </c>
      <c r="G409" s="673">
        <f t="shared" si="33"/>
        <v>0</v>
      </c>
      <c r="H409" s="721">
        <f>+J356*G409+E409</f>
        <v>0</v>
      </c>
      <c r="I409" s="727">
        <f>+J357*G409+E409</f>
        <v>0</v>
      </c>
      <c r="J409" s="724">
        <f t="shared" si="34"/>
        <v>0</v>
      </c>
      <c r="K409" s="724"/>
      <c r="L409" s="728"/>
      <c r="M409" s="724">
        <f t="shared" si="35"/>
        <v>0</v>
      </c>
      <c r="N409" s="728"/>
      <c r="O409" s="724">
        <f t="shared" si="36"/>
        <v>0</v>
      </c>
      <c r="P409" s="724">
        <f t="shared" si="37"/>
        <v>0</v>
      </c>
      <c r="Q409" s="674"/>
    </row>
    <row r="410" spans="2:17">
      <c r="B410" s="330"/>
      <c r="C410" s="720">
        <f>IF(D355="","-",+C409+1)</f>
        <v>2062</v>
      </c>
      <c r="D410" s="673">
        <f t="shared" si="38"/>
        <v>0</v>
      </c>
      <c r="E410" s="726">
        <f t="shared" si="39"/>
        <v>0</v>
      </c>
      <c r="F410" s="726">
        <f t="shared" si="32"/>
        <v>0</v>
      </c>
      <c r="G410" s="673">
        <f t="shared" si="33"/>
        <v>0</v>
      </c>
      <c r="H410" s="721">
        <f>+J356*G410+E410</f>
        <v>0</v>
      </c>
      <c r="I410" s="727">
        <f>+J357*G410+E410</f>
        <v>0</v>
      </c>
      <c r="J410" s="724">
        <f t="shared" si="34"/>
        <v>0</v>
      </c>
      <c r="K410" s="724"/>
      <c r="L410" s="728"/>
      <c r="M410" s="724">
        <f t="shared" si="35"/>
        <v>0</v>
      </c>
      <c r="N410" s="728"/>
      <c r="O410" s="724">
        <f t="shared" si="36"/>
        <v>0</v>
      </c>
      <c r="P410" s="724">
        <f t="shared" si="37"/>
        <v>0</v>
      </c>
      <c r="Q410" s="674"/>
    </row>
    <row r="411" spans="2:17">
      <c r="B411" s="330"/>
      <c r="C411" s="720">
        <f>IF(D355="","-",+C410+1)</f>
        <v>2063</v>
      </c>
      <c r="D411" s="673">
        <f t="shared" si="38"/>
        <v>0</v>
      </c>
      <c r="E411" s="726">
        <f t="shared" si="39"/>
        <v>0</v>
      </c>
      <c r="F411" s="726">
        <f t="shared" si="32"/>
        <v>0</v>
      </c>
      <c r="G411" s="673">
        <f t="shared" si="33"/>
        <v>0</v>
      </c>
      <c r="H411" s="721">
        <f>+J356*G411+E411</f>
        <v>0</v>
      </c>
      <c r="I411" s="727">
        <f>+J357*G411+E411</f>
        <v>0</v>
      </c>
      <c r="J411" s="724">
        <f t="shared" si="34"/>
        <v>0</v>
      </c>
      <c r="K411" s="724"/>
      <c r="L411" s="728"/>
      <c r="M411" s="724">
        <f t="shared" si="35"/>
        <v>0</v>
      </c>
      <c r="N411" s="728"/>
      <c r="O411" s="724">
        <f t="shared" si="36"/>
        <v>0</v>
      </c>
      <c r="P411" s="724">
        <f t="shared" si="37"/>
        <v>0</v>
      </c>
      <c r="Q411" s="674"/>
    </row>
    <row r="412" spans="2:17">
      <c r="B412" s="330"/>
      <c r="C412" s="720">
        <f>IF(D355="","-",+C411+1)</f>
        <v>2064</v>
      </c>
      <c r="D412" s="673">
        <f t="shared" si="38"/>
        <v>0</v>
      </c>
      <c r="E412" s="726">
        <f t="shared" si="39"/>
        <v>0</v>
      </c>
      <c r="F412" s="726">
        <f t="shared" si="32"/>
        <v>0</v>
      </c>
      <c r="G412" s="673">
        <f t="shared" si="33"/>
        <v>0</v>
      </c>
      <c r="H412" s="721">
        <f>+J356*G412+E412</f>
        <v>0</v>
      </c>
      <c r="I412" s="727">
        <f>+J357*G412+E412</f>
        <v>0</v>
      </c>
      <c r="J412" s="724">
        <f t="shared" si="34"/>
        <v>0</v>
      </c>
      <c r="K412" s="724"/>
      <c r="L412" s="728"/>
      <c r="M412" s="724">
        <f t="shared" si="35"/>
        <v>0</v>
      </c>
      <c r="N412" s="728"/>
      <c r="O412" s="724">
        <f t="shared" si="36"/>
        <v>0</v>
      </c>
      <c r="P412" s="724">
        <f t="shared" si="37"/>
        <v>0</v>
      </c>
      <c r="Q412" s="674"/>
    </row>
    <row r="413" spans="2:17">
      <c r="B413" s="330"/>
      <c r="C413" s="720">
        <f>IF(D355="","-",+C412+1)</f>
        <v>2065</v>
      </c>
      <c r="D413" s="673">
        <f t="shared" si="38"/>
        <v>0</v>
      </c>
      <c r="E413" s="726">
        <f t="shared" si="39"/>
        <v>0</v>
      </c>
      <c r="F413" s="726">
        <f t="shared" si="32"/>
        <v>0</v>
      </c>
      <c r="G413" s="673">
        <f t="shared" si="33"/>
        <v>0</v>
      </c>
      <c r="H413" s="721">
        <f>+J356*G413+E413</f>
        <v>0</v>
      </c>
      <c r="I413" s="727">
        <f>+J357*G413+E413</f>
        <v>0</v>
      </c>
      <c r="J413" s="724">
        <f t="shared" si="34"/>
        <v>0</v>
      </c>
      <c r="K413" s="724"/>
      <c r="L413" s="728"/>
      <c r="M413" s="724">
        <f t="shared" si="35"/>
        <v>0</v>
      </c>
      <c r="N413" s="728"/>
      <c r="O413" s="724">
        <f t="shared" si="36"/>
        <v>0</v>
      </c>
      <c r="P413" s="724">
        <f t="shared" si="37"/>
        <v>0</v>
      </c>
      <c r="Q413" s="674"/>
    </row>
    <row r="414" spans="2:17">
      <c r="B414" s="330"/>
      <c r="C414" s="720">
        <f>IF(D355="","-",+C413+1)</f>
        <v>2066</v>
      </c>
      <c r="D414" s="673">
        <f t="shared" si="38"/>
        <v>0</v>
      </c>
      <c r="E414" s="726">
        <f t="shared" si="39"/>
        <v>0</v>
      </c>
      <c r="F414" s="726">
        <f t="shared" si="32"/>
        <v>0</v>
      </c>
      <c r="G414" s="673">
        <f t="shared" si="33"/>
        <v>0</v>
      </c>
      <c r="H414" s="721">
        <f>+J356*G414+E414</f>
        <v>0</v>
      </c>
      <c r="I414" s="727">
        <f>+J357*G414+E414</f>
        <v>0</v>
      </c>
      <c r="J414" s="724">
        <f t="shared" si="34"/>
        <v>0</v>
      </c>
      <c r="K414" s="724"/>
      <c r="L414" s="728"/>
      <c r="M414" s="724">
        <f t="shared" si="35"/>
        <v>0</v>
      </c>
      <c r="N414" s="728"/>
      <c r="O414" s="724">
        <f t="shared" si="36"/>
        <v>0</v>
      </c>
      <c r="P414" s="724">
        <f t="shared" si="37"/>
        <v>0</v>
      </c>
      <c r="Q414" s="674"/>
    </row>
    <row r="415" spans="2:17">
      <c r="B415" s="330"/>
      <c r="C415" s="720">
        <f>IF(D355="","-",+C414+1)</f>
        <v>2067</v>
      </c>
      <c r="D415" s="673">
        <f t="shared" si="38"/>
        <v>0</v>
      </c>
      <c r="E415" s="726">
        <f t="shared" si="39"/>
        <v>0</v>
      </c>
      <c r="F415" s="726">
        <f t="shared" si="32"/>
        <v>0</v>
      </c>
      <c r="G415" s="673">
        <f t="shared" si="33"/>
        <v>0</v>
      </c>
      <c r="H415" s="721">
        <f>+J356*G415+E415</f>
        <v>0</v>
      </c>
      <c r="I415" s="727">
        <f>+J357*G415+E415</f>
        <v>0</v>
      </c>
      <c r="J415" s="724">
        <f t="shared" si="34"/>
        <v>0</v>
      </c>
      <c r="K415" s="724"/>
      <c r="L415" s="728"/>
      <c r="M415" s="724">
        <f t="shared" si="35"/>
        <v>0</v>
      </c>
      <c r="N415" s="728"/>
      <c r="O415" s="724">
        <f t="shared" si="36"/>
        <v>0</v>
      </c>
      <c r="P415" s="724">
        <f t="shared" si="37"/>
        <v>0</v>
      </c>
      <c r="Q415" s="674"/>
    </row>
    <row r="416" spans="2:17">
      <c r="B416" s="330"/>
      <c r="C416" s="720">
        <f>IF(D355="","-",+C415+1)</f>
        <v>2068</v>
      </c>
      <c r="D416" s="673">
        <f t="shared" si="38"/>
        <v>0</v>
      </c>
      <c r="E416" s="726">
        <f t="shared" si="39"/>
        <v>0</v>
      </c>
      <c r="F416" s="726">
        <f t="shared" si="32"/>
        <v>0</v>
      </c>
      <c r="G416" s="673">
        <f t="shared" si="33"/>
        <v>0</v>
      </c>
      <c r="H416" s="721">
        <f>+J356*G416+E416</f>
        <v>0</v>
      </c>
      <c r="I416" s="727">
        <f>+J357*G416+E416</f>
        <v>0</v>
      </c>
      <c r="J416" s="724">
        <f t="shared" si="34"/>
        <v>0</v>
      </c>
      <c r="K416" s="724"/>
      <c r="L416" s="728"/>
      <c r="M416" s="724">
        <f t="shared" si="35"/>
        <v>0</v>
      </c>
      <c r="N416" s="728"/>
      <c r="O416" s="724">
        <f t="shared" si="36"/>
        <v>0</v>
      </c>
      <c r="P416" s="724">
        <f t="shared" si="37"/>
        <v>0</v>
      </c>
      <c r="Q416" s="674"/>
    </row>
    <row r="417" spans="1:17">
      <c r="B417" s="330"/>
      <c r="C417" s="720">
        <f>IF(D355="","-",+C416+1)</f>
        <v>2069</v>
      </c>
      <c r="D417" s="673">
        <f t="shared" si="38"/>
        <v>0</v>
      </c>
      <c r="E417" s="726">
        <f t="shared" si="39"/>
        <v>0</v>
      </c>
      <c r="F417" s="726">
        <f t="shared" si="32"/>
        <v>0</v>
      </c>
      <c r="G417" s="673">
        <f t="shared" si="33"/>
        <v>0</v>
      </c>
      <c r="H417" s="721">
        <f>+J356*G417+E417</f>
        <v>0</v>
      </c>
      <c r="I417" s="727">
        <f>+J357*G417+E417</f>
        <v>0</v>
      </c>
      <c r="J417" s="724">
        <f t="shared" si="34"/>
        <v>0</v>
      </c>
      <c r="K417" s="724"/>
      <c r="L417" s="728"/>
      <c r="M417" s="724">
        <f t="shared" si="35"/>
        <v>0</v>
      </c>
      <c r="N417" s="728"/>
      <c r="O417" s="724">
        <f t="shared" si="36"/>
        <v>0</v>
      </c>
      <c r="P417" s="724">
        <f t="shared" si="37"/>
        <v>0</v>
      </c>
      <c r="Q417" s="674"/>
    </row>
    <row r="418" spans="1:17">
      <c r="B418" s="330"/>
      <c r="C418" s="720">
        <f>IF(D355="","-",+C417+1)</f>
        <v>2070</v>
      </c>
      <c r="D418" s="673">
        <f t="shared" si="38"/>
        <v>0</v>
      </c>
      <c r="E418" s="726">
        <f t="shared" si="39"/>
        <v>0</v>
      </c>
      <c r="F418" s="726">
        <f t="shared" si="32"/>
        <v>0</v>
      </c>
      <c r="G418" s="673">
        <f t="shared" si="33"/>
        <v>0</v>
      </c>
      <c r="H418" s="721">
        <f>+J356*G418+E418</f>
        <v>0</v>
      </c>
      <c r="I418" s="727">
        <f>+J357*G418+E418</f>
        <v>0</v>
      </c>
      <c r="J418" s="724">
        <f t="shared" si="34"/>
        <v>0</v>
      </c>
      <c r="K418" s="724"/>
      <c r="L418" s="728"/>
      <c r="M418" s="724">
        <f t="shared" si="35"/>
        <v>0</v>
      </c>
      <c r="N418" s="728"/>
      <c r="O418" s="724">
        <f t="shared" si="36"/>
        <v>0</v>
      </c>
      <c r="P418" s="724">
        <f t="shared" si="37"/>
        <v>0</v>
      </c>
      <c r="Q418" s="674"/>
    </row>
    <row r="419" spans="1:17">
      <c r="B419" s="330"/>
      <c r="C419" s="720">
        <f>IF(D355="","-",+C418+1)</f>
        <v>2071</v>
      </c>
      <c r="D419" s="673">
        <f t="shared" si="38"/>
        <v>0</v>
      </c>
      <c r="E419" s="726">
        <f t="shared" si="39"/>
        <v>0</v>
      </c>
      <c r="F419" s="726">
        <f t="shared" si="32"/>
        <v>0</v>
      </c>
      <c r="G419" s="673">
        <f t="shared" si="33"/>
        <v>0</v>
      </c>
      <c r="H419" s="721">
        <f>+J356*G419+E419</f>
        <v>0</v>
      </c>
      <c r="I419" s="727">
        <f>+J357*G419+E419</f>
        <v>0</v>
      </c>
      <c r="J419" s="724">
        <f t="shared" si="34"/>
        <v>0</v>
      </c>
      <c r="K419" s="724"/>
      <c r="L419" s="728"/>
      <c r="M419" s="724">
        <f t="shared" si="35"/>
        <v>0</v>
      </c>
      <c r="N419" s="728"/>
      <c r="O419" s="724">
        <f t="shared" si="36"/>
        <v>0</v>
      </c>
      <c r="P419" s="724">
        <f t="shared" si="37"/>
        <v>0</v>
      </c>
      <c r="Q419" s="674"/>
    </row>
    <row r="420" spans="1:17" ht="13.5" thickBot="1">
      <c r="B420" s="330"/>
      <c r="C420" s="730">
        <f>IF(D355="","-",+C419+1)</f>
        <v>2072</v>
      </c>
      <c r="D420" s="731">
        <f t="shared" si="38"/>
        <v>0</v>
      </c>
      <c r="E420" s="1309">
        <f t="shared" si="39"/>
        <v>0</v>
      </c>
      <c r="F420" s="732">
        <f t="shared" si="32"/>
        <v>0</v>
      </c>
      <c r="G420" s="731">
        <f t="shared" si="33"/>
        <v>0</v>
      </c>
      <c r="H420" s="733">
        <f>+J356*G420+E420</f>
        <v>0</v>
      </c>
      <c r="I420" s="733">
        <f>+J357*G420+E420</f>
        <v>0</v>
      </c>
      <c r="J420" s="734">
        <f t="shared" si="34"/>
        <v>0</v>
      </c>
      <c r="K420" s="724"/>
      <c r="L420" s="735"/>
      <c r="M420" s="734">
        <f t="shared" si="35"/>
        <v>0</v>
      </c>
      <c r="N420" s="735"/>
      <c r="O420" s="734">
        <f t="shared" si="36"/>
        <v>0</v>
      </c>
      <c r="P420" s="734">
        <f t="shared" si="37"/>
        <v>0</v>
      </c>
      <c r="Q420" s="674"/>
    </row>
    <row r="421" spans="1:17">
      <c r="B421" s="330"/>
      <c r="C421" s="673" t="s">
        <v>288</v>
      </c>
      <c r="D421" s="669"/>
      <c r="E421" s="669">
        <f>SUM(E361:E420)</f>
        <v>5705686.0099999998</v>
      </c>
      <c r="F421" s="669"/>
      <c r="G421" s="669"/>
      <c r="H421" s="669">
        <f>SUM(H361:H420)</f>
        <v>25765189.167208478</v>
      </c>
      <c r="I421" s="669">
        <f>SUM(I361:I420)</f>
        <v>25765189.167208478</v>
      </c>
      <c r="J421" s="669">
        <f>SUM(J361:J420)</f>
        <v>0</v>
      </c>
      <c r="K421" s="669"/>
      <c r="L421" s="669"/>
      <c r="M421" s="669"/>
      <c r="N421" s="669"/>
      <c r="O421" s="669"/>
      <c r="Q421" s="669"/>
    </row>
    <row r="422" spans="1:17">
      <c r="B422" s="330"/>
      <c r="D422" s="563"/>
      <c r="E422" s="542"/>
      <c r="F422" s="542"/>
      <c r="G422" s="542"/>
      <c r="H422" s="542"/>
      <c r="I422" s="646"/>
      <c r="J422" s="646"/>
      <c r="K422" s="669"/>
      <c r="L422" s="646"/>
      <c r="M422" s="646"/>
      <c r="N422" s="646"/>
      <c r="O422" s="646"/>
      <c r="Q422" s="669"/>
    </row>
    <row r="423" spans="1:17">
      <c r="B423" s="330"/>
      <c r="C423" s="542" t="s">
        <v>595</v>
      </c>
      <c r="D423" s="563"/>
      <c r="E423" s="542"/>
      <c r="F423" s="542"/>
      <c r="G423" s="542"/>
      <c r="H423" s="542"/>
      <c r="I423" s="646"/>
      <c r="J423" s="646"/>
      <c r="K423" s="669"/>
      <c r="L423" s="646"/>
      <c r="M423" s="646"/>
      <c r="N423" s="646"/>
      <c r="O423" s="646"/>
      <c r="Q423" s="669"/>
    </row>
    <row r="424" spans="1:17">
      <c r="B424" s="330"/>
      <c r="D424" s="563"/>
      <c r="E424" s="542"/>
      <c r="F424" s="542"/>
      <c r="G424" s="542"/>
      <c r="H424" s="542"/>
      <c r="I424" s="646"/>
      <c r="J424" s="646"/>
      <c r="K424" s="669"/>
      <c r="L424" s="646"/>
      <c r="M424" s="646"/>
      <c r="N424" s="646"/>
      <c r="O424" s="646"/>
      <c r="Q424" s="669"/>
    </row>
    <row r="425" spans="1:17">
      <c r="B425" s="330"/>
      <c r="C425" s="576" t="s">
        <v>596</v>
      </c>
      <c r="D425" s="673"/>
      <c r="E425" s="673"/>
      <c r="F425" s="673"/>
      <c r="G425" s="673"/>
      <c r="H425" s="669"/>
      <c r="I425" s="669"/>
      <c r="J425" s="674"/>
      <c r="K425" s="674"/>
      <c r="L425" s="674"/>
      <c r="M425" s="674"/>
      <c r="N425" s="674"/>
      <c r="O425" s="674"/>
      <c r="Q425" s="674"/>
    </row>
    <row r="426" spans="1:17">
      <c r="B426" s="330"/>
      <c r="C426" s="576" t="s">
        <v>476</v>
      </c>
      <c r="D426" s="673"/>
      <c r="E426" s="673"/>
      <c r="F426" s="673"/>
      <c r="G426" s="673"/>
      <c r="H426" s="669"/>
      <c r="I426" s="669"/>
      <c r="J426" s="674"/>
      <c r="K426" s="674"/>
      <c r="L426" s="674"/>
      <c r="M426" s="674"/>
      <c r="N426" s="674"/>
      <c r="O426" s="674"/>
      <c r="Q426" s="674"/>
    </row>
    <row r="427" spans="1:17">
      <c r="B427" s="330"/>
      <c r="C427" s="576" t="s">
        <v>289</v>
      </c>
      <c r="D427" s="673"/>
      <c r="E427" s="673"/>
      <c r="F427" s="673"/>
      <c r="G427" s="673"/>
      <c r="H427" s="669"/>
      <c r="I427" s="669"/>
      <c r="J427" s="674"/>
      <c r="K427" s="674"/>
      <c r="L427" s="674"/>
      <c r="M427" s="674"/>
      <c r="N427" s="674"/>
      <c r="O427" s="674"/>
      <c r="Q427" s="674"/>
    </row>
    <row r="428" spans="1:17" ht="22.5" customHeight="1">
      <c r="A428" s="675" t="s">
        <v>764</v>
      </c>
      <c r="B428" s="542"/>
      <c r="C428" s="655"/>
      <c r="D428" s="563"/>
      <c r="E428" s="542"/>
      <c r="F428" s="645"/>
      <c r="G428" s="645"/>
      <c r="H428" s="542"/>
      <c r="I428" s="646"/>
      <c r="L428" s="676"/>
      <c r="M428" s="676"/>
      <c r="N428" s="676"/>
      <c r="O428" s="591" t="str">
        <f>"Page "&amp;SUM(Q$3:Q428)&amp;" of "</f>
        <v xml:space="preserve">Page 6 of </v>
      </c>
      <c r="P428" s="592">
        <f>COUNT(Q$8:Q$58212)</f>
        <v>23</v>
      </c>
      <c r="Q428" s="756">
        <v>1</v>
      </c>
    </row>
    <row r="429" spans="1:17">
      <c r="B429" s="542"/>
      <c r="C429" s="542"/>
      <c r="D429" s="563"/>
      <c r="E429" s="542"/>
      <c r="F429" s="542"/>
      <c r="G429" s="542"/>
      <c r="H429" s="542"/>
      <c r="I429" s="646"/>
      <c r="J429" s="542"/>
      <c r="K429" s="588"/>
      <c r="Q429" s="588"/>
    </row>
    <row r="430" spans="1:17" ht="18">
      <c r="B430" s="595" t="s">
        <v>174</v>
      </c>
      <c r="C430" s="677" t="s">
        <v>290</v>
      </c>
      <c r="D430" s="563"/>
      <c r="E430" s="542"/>
      <c r="F430" s="542"/>
      <c r="G430" s="542"/>
      <c r="H430" s="542"/>
      <c r="I430" s="646"/>
      <c r="J430" s="646"/>
      <c r="K430" s="669"/>
      <c r="L430" s="646"/>
      <c r="M430" s="646"/>
      <c r="N430" s="646"/>
      <c r="O430" s="646"/>
      <c r="Q430" s="669"/>
    </row>
    <row r="431" spans="1:17" ht="18.75">
      <c r="B431" s="595"/>
      <c r="C431" s="594"/>
      <c r="D431" s="563"/>
      <c r="E431" s="542"/>
      <c r="F431" s="542"/>
      <c r="G431" s="542"/>
      <c r="H431" s="542"/>
      <c r="I431" s="646"/>
      <c r="J431" s="646"/>
      <c r="K431" s="669"/>
      <c r="L431" s="646"/>
      <c r="M431" s="646"/>
      <c r="N431" s="646"/>
      <c r="O431" s="646"/>
      <c r="Q431" s="669"/>
    </row>
    <row r="432" spans="1:17" ht="18.75">
      <c r="B432" s="595"/>
      <c r="C432" s="594" t="s">
        <v>291</v>
      </c>
      <c r="D432" s="563"/>
      <c r="E432" s="542"/>
      <c r="F432" s="542"/>
      <c r="G432" s="542"/>
      <c r="H432" s="542"/>
      <c r="I432" s="646"/>
      <c r="J432" s="646"/>
      <c r="K432" s="669"/>
      <c r="L432" s="646"/>
      <c r="M432" s="646"/>
      <c r="N432" s="646"/>
      <c r="O432" s="646"/>
      <c r="Q432" s="669"/>
    </row>
    <row r="433" spans="1:17" ht="15.75" thickBot="1">
      <c r="B433" s="330"/>
      <c r="C433" s="396"/>
      <c r="D433" s="563"/>
      <c r="E433" s="542"/>
      <c r="F433" s="542"/>
      <c r="G433" s="542"/>
      <c r="H433" s="542"/>
      <c r="I433" s="646"/>
      <c r="J433" s="646"/>
      <c r="K433" s="669"/>
      <c r="L433" s="646"/>
      <c r="M433" s="646"/>
      <c r="N433" s="646"/>
      <c r="O433" s="646"/>
      <c r="Q433" s="669"/>
    </row>
    <row r="434" spans="1:17" ht="15.75">
      <c r="B434" s="330"/>
      <c r="C434" s="596" t="s">
        <v>292</v>
      </c>
      <c r="D434" s="563"/>
      <c r="E434" s="542"/>
      <c r="F434" s="542"/>
      <c r="G434" s="542"/>
      <c r="H434" s="864"/>
      <c r="I434" s="542" t="s">
        <v>271</v>
      </c>
      <c r="J434" s="542"/>
      <c r="K434" s="588"/>
      <c r="L434" s="757">
        <f>+J440</f>
        <v>2021</v>
      </c>
      <c r="M434" s="739" t="s">
        <v>254</v>
      </c>
      <c r="N434" s="739" t="s">
        <v>255</v>
      </c>
      <c r="O434" s="740" t="s">
        <v>256</v>
      </c>
      <c r="Q434" s="588"/>
    </row>
    <row r="435" spans="1:17" ht="15.75">
      <c r="B435" s="330"/>
      <c r="C435" s="596"/>
      <c r="D435" s="563"/>
      <c r="E435" s="542"/>
      <c r="F435" s="542"/>
      <c r="H435" s="542"/>
      <c r="I435" s="681"/>
      <c r="J435" s="681"/>
      <c r="K435" s="682"/>
      <c r="L435" s="758" t="s">
        <v>455</v>
      </c>
      <c r="M435" s="759">
        <f>VLOOKUP(J440,C447:P506,10)</f>
        <v>295884.87969016167</v>
      </c>
      <c r="N435" s="759">
        <f>VLOOKUP(J440,C447:P506,12)</f>
        <v>295884.87969016167</v>
      </c>
      <c r="O435" s="760">
        <f>+N435-M435</f>
        <v>0</v>
      </c>
      <c r="Q435" s="682"/>
    </row>
    <row r="436" spans="1:17" ht="12.95" customHeight="1">
      <c r="B436" s="330"/>
      <c r="C436" s="684" t="s">
        <v>293</v>
      </c>
      <c r="D436" s="1711" t="s">
        <v>938</v>
      </c>
      <c r="E436" s="1711"/>
      <c r="F436" s="1711"/>
      <c r="G436" s="1711"/>
      <c r="H436" s="1711"/>
      <c r="I436" s="1711"/>
      <c r="J436" s="646"/>
      <c r="K436" s="669"/>
      <c r="L436" s="758" t="s">
        <v>456</v>
      </c>
      <c r="M436" s="761">
        <f>VLOOKUP(J440,C447:P506,6)</f>
        <v>313321.64000526449</v>
      </c>
      <c r="N436" s="761">
        <f>VLOOKUP(J440,C447:P506,7)</f>
        <v>313321.64000526449</v>
      </c>
      <c r="O436" s="762">
        <f>+N436-M436</f>
        <v>0</v>
      </c>
      <c r="Q436" s="669"/>
    </row>
    <row r="437" spans="1:17" ht="13.5" thickBot="1">
      <c r="B437" s="330"/>
      <c r="C437" s="686"/>
      <c r="D437" s="1711" t="s">
        <v>114</v>
      </c>
      <c r="E437" s="1711"/>
      <c r="F437" s="1711"/>
      <c r="G437" s="1711"/>
      <c r="H437" s="1711"/>
      <c r="I437" s="1711"/>
      <c r="J437" s="646"/>
      <c r="K437" s="669"/>
      <c r="L437" s="705" t="s">
        <v>457</v>
      </c>
      <c r="M437" s="763">
        <f>+M436-M435</f>
        <v>17436.760315102816</v>
      </c>
      <c r="N437" s="763">
        <f>+N436-N435</f>
        <v>17436.760315102816</v>
      </c>
      <c r="O437" s="764">
        <f>+O436-O435</f>
        <v>0</v>
      </c>
      <c r="Q437" s="669"/>
    </row>
    <row r="438" spans="1:17" ht="13.5" thickBot="1">
      <c r="B438" s="330"/>
      <c r="C438" s="689"/>
      <c r="D438" s="690"/>
      <c r="E438" s="688"/>
      <c r="F438" s="688"/>
      <c r="G438" s="688"/>
      <c r="H438" s="688"/>
      <c r="I438" s="688"/>
      <c r="J438" s="688"/>
      <c r="K438" s="691"/>
      <c r="L438" s="688"/>
      <c r="M438" s="688"/>
      <c r="N438" s="688"/>
      <c r="O438" s="688"/>
      <c r="P438" s="576"/>
      <c r="Q438" s="691"/>
    </row>
    <row r="439" spans="1:17" ht="13.5" thickBot="1">
      <c r="B439" s="330"/>
      <c r="C439" s="692" t="s">
        <v>294</v>
      </c>
      <c r="D439" s="693"/>
      <c r="E439" s="693"/>
      <c r="F439" s="693"/>
      <c r="G439" s="693"/>
      <c r="H439" s="693"/>
      <c r="I439" s="693"/>
      <c r="J439" s="693"/>
      <c r="K439" s="695"/>
      <c r="P439" s="696"/>
      <c r="Q439" s="695"/>
    </row>
    <row r="440" spans="1:17" ht="15">
      <c r="A440" s="1310"/>
      <c r="B440" s="330"/>
      <c r="C440" s="697" t="s">
        <v>272</v>
      </c>
      <c r="D440" s="1253">
        <v>2088950.94</v>
      </c>
      <c r="E440" s="655" t="s">
        <v>273</v>
      </c>
      <c r="H440" s="698"/>
      <c r="I440" s="698"/>
      <c r="J440" s="1451">
        <f>$J$95</f>
        <v>2021</v>
      </c>
      <c r="K440" s="586"/>
      <c r="L440" s="1717" t="s">
        <v>274</v>
      </c>
      <c r="M440" s="1717"/>
      <c r="N440" s="1717"/>
      <c r="O440" s="1717"/>
      <c r="P440" s="588"/>
      <c r="Q440" s="586"/>
    </row>
    <row r="441" spans="1:17">
      <c r="A441" s="1310"/>
      <c r="B441" s="330"/>
      <c r="C441" s="697" t="s">
        <v>275</v>
      </c>
      <c r="D441" s="873">
        <v>2013</v>
      </c>
      <c r="E441" s="697" t="s">
        <v>276</v>
      </c>
      <c r="F441" s="698"/>
      <c r="G441" s="698"/>
      <c r="I441" s="330"/>
      <c r="J441" s="867">
        <v>0</v>
      </c>
      <c r="K441" s="700"/>
      <c r="L441" s="669" t="s">
        <v>475</v>
      </c>
      <c r="P441" s="588"/>
      <c r="Q441" s="700"/>
    </row>
    <row r="442" spans="1:17">
      <c r="A442" s="1310"/>
      <c r="B442" s="330"/>
      <c r="C442" s="697" t="s">
        <v>277</v>
      </c>
      <c r="D442" s="1280">
        <v>12</v>
      </c>
      <c r="E442" s="697" t="s">
        <v>278</v>
      </c>
      <c r="F442" s="698"/>
      <c r="G442" s="698"/>
      <c r="I442" s="330"/>
      <c r="J442" s="701">
        <f>$F$70</f>
        <v>0.15341253840442806</v>
      </c>
      <c r="K442" s="702"/>
      <c r="L442" s="542" t="str">
        <f>"          INPUT TRUE-UP ARR (WITH &amp; WITHOUT INCENTIVES) FROM EACH PRIOR YEAR"</f>
        <v xml:space="preserve">          INPUT TRUE-UP ARR (WITH &amp; WITHOUT INCENTIVES) FROM EACH PRIOR YEAR</v>
      </c>
      <c r="P442" s="588"/>
      <c r="Q442" s="702"/>
    </row>
    <row r="443" spans="1:17">
      <c r="A443" s="1310"/>
      <c r="B443" s="330"/>
      <c r="C443" s="697" t="s">
        <v>279</v>
      </c>
      <c r="D443" s="703">
        <f>H79</f>
        <v>44</v>
      </c>
      <c r="E443" s="697" t="s">
        <v>280</v>
      </c>
      <c r="F443" s="698"/>
      <c r="G443" s="698"/>
      <c r="I443" s="330"/>
      <c r="J443" s="701">
        <f>IF(H434="",J442,$F$69)</f>
        <v>0.15341253840442806</v>
      </c>
      <c r="K443" s="704"/>
      <c r="L443" s="542" t="s">
        <v>362</v>
      </c>
      <c r="M443" s="704"/>
      <c r="N443" s="704"/>
      <c r="O443" s="704"/>
      <c r="P443" s="588"/>
      <c r="Q443" s="704"/>
    </row>
    <row r="444" spans="1:17" ht="13.5" thickBot="1">
      <c r="A444" s="1310"/>
      <c r="B444" s="330"/>
      <c r="C444" s="697" t="s">
        <v>281</v>
      </c>
      <c r="D444" s="866" t="s">
        <v>933</v>
      </c>
      <c r="E444" s="705" t="s">
        <v>282</v>
      </c>
      <c r="F444" s="706"/>
      <c r="G444" s="706"/>
      <c r="H444" s="707"/>
      <c r="I444" s="707"/>
      <c r="J444" s="685">
        <f>IF(D440=0,0,D440/D443)</f>
        <v>47476.157727272723</v>
      </c>
      <c r="K444" s="669"/>
      <c r="L444" s="669" t="s">
        <v>363</v>
      </c>
      <c r="M444" s="669"/>
      <c r="N444" s="669"/>
      <c r="O444" s="669"/>
      <c r="P444" s="588"/>
      <c r="Q444" s="669"/>
    </row>
    <row r="445" spans="1:17" ht="38.25">
      <c r="A445" s="529"/>
      <c r="B445" s="529"/>
      <c r="C445" s="708" t="s">
        <v>272</v>
      </c>
      <c r="D445" s="709" t="s">
        <v>283</v>
      </c>
      <c r="E445" s="710" t="s">
        <v>284</v>
      </c>
      <c r="F445" s="709" t="s">
        <v>285</v>
      </c>
      <c r="G445" s="709" t="s">
        <v>458</v>
      </c>
      <c r="H445" s="710" t="s">
        <v>356</v>
      </c>
      <c r="I445" s="711" t="s">
        <v>356</v>
      </c>
      <c r="J445" s="708" t="s">
        <v>295</v>
      </c>
      <c r="K445" s="712"/>
      <c r="L445" s="710" t="s">
        <v>358</v>
      </c>
      <c r="M445" s="710" t="s">
        <v>364</v>
      </c>
      <c r="N445" s="710" t="s">
        <v>358</v>
      </c>
      <c r="O445" s="710" t="s">
        <v>366</v>
      </c>
      <c r="P445" s="710" t="s">
        <v>286</v>
      </c>
      <c r="Q445" s="713"/>
    </row>
    <row r="446" spans="1:17" ht="13.5" thickBot="1">
      <c r="B446" s="330"/>
      <c r="C446" s="714" t="s">
        <v>177</v>
      </c>
      <c r="D446" s="715" t="s">
        <v>178</v>
      </c>
      <c r="E446" s="714" t="s">
        <v>37</v>
      </c>
      <c r="F446" s="715" t="s">
        <v>178</v>
      </c>
      <c r="G446" s="715" t="s">
        <v>178</v>
      </c>
      <c r="H446" s="716" t="s">
        <v>298</v>
      </c>
      <c r="I446" s="717" t="s">
        <v>300</v>
      </c>
      <c r="J446" s="718" t="s">
        <v>389</v>
      </c>
      <c r="K446" s="719"/>
      <c r="L446" s="716" t="s">
        <v>287</v>
      </c>
      <c r="M446" s="716" t="s">
        <v>287</v>
      </c>
      <c r="N446" s="716" t="s">
        <v>467</v>
      </c>
      <c r="O446" s="716" t="s">
        <v>467</v>
      </c>
      <c r="P446" s="716" t="s">
        <v>467</v>
      </c>
      <c r="Q446" s="586"/>
    </row>
    <row r="447" spans="1:17">
      <c r="B447" s="330"/>
      <c r="C447" s="720">
        <f>IF(D441= "","-",D441)</f>
        <v>2013</v>
      </c>
      <c r="D447" s="673">
        <f>+D440</f>
        <v>2088950.94</v>
      </c>
      <c r="E447" s="721">
        <f>+J444/12*(12-D442)</f>
        <v>0</v>
      </c>
      <c r="F447" s="765">
        <f t="shared" ref="F447:F506" si="40">+D447-E447</f>
        <v>2088950.94</v>
      </c>
      <c r="G447" s="673">
        <f t="shared" ref="G447:G506" si="41">+(D447+F447)/2</f>
        <v>2088950.94</v>
      </c>
      <c r="H447" s="722">
        <f>+J442*G447+E447</f>
        <v>320471.26630771608</v>
      </c>
      <c r="I447" s="723">
        <f>+J443*G447+E447</f>
        <v>320471.26630771608</v>
      </c>
      <c r="J447" s="724">
        <f t="shared" ref="J447:J506" si="42">+I447-H447</f>
        <v>0</v>
      </c>
      <c r="K447" s="724"/>
      <c r="L447" s="728">
        <v>424916</v>
      </c>
      <c r="M447" s="766">
        <f t="shared" ref="M447:M506" si="43">IF(L447&lt;&gt;0,+H447-L447,0)</f>
        <v>-104444.73369228392</v>
      </c>
      <c r="N447" s="728">
        <v>424916</v>
      </c>
      <c r="O447" s="766">
        <f t="shared" ref="O447:O506" si="44">IF(N447&lt;&gt;0,+I447-N447,0)</f>
        <v>-104444.73369228392</v>
      </c>
      <c r="P447" s="766">
        <f t="shared" ref="P447:P506" si="45">+O447-M447</f>
        <v>0</v>
      </c>
      <c r="Q447" s="674"/>
    </row>
    <row r="448" spans="1:17">
      <c r="B448" s="330"/>
      <c r="C448" s="720">
        <f>IF(D441="","-",+C447+1)</f>
        <v>2014</v>
      </c>
      <c r="D448" s="673">
        <f t="shared" ref="D448:D506" si="46">F447</f>
        <v>2088950.94</v>
      </c>
      <c r="E448" s="726">
        <f>IF(D448&gt;$J$444,$J$444,D448)</f>
        <v>47476.157727272723</v>
      </c>
      <c r="F448" s="726">
        <f t="shared" si="40"/>
        <v>2041474.7822727272</v>
      </c>
      <c r="G448" s="673">
        <f t="shared" si="41"/>
        <v>2065212.8611363636</v>
      </c>
      <c r="H448" s="721">
        <f>+J442*G448+E448</f>
        <v>364305.70509967383</v>
      </c>
      <c r="I448" s="727">
        <f>+J443*G448+E448</f>
        <v>364305.70509967383</v>
      </c>
      <c r="J448" s="724">
        <f t="shared" si="42"/>
        <v>0</v>
      </c>
      <c r="K448" s="724"/>
      <c r="L448" s="728">
        <v>372954</v>
      </c>
      <c r="M448" s="724">
        <f t="shared" si="43"/>
        <v>-8648.2949003261747</v>
      </c>
      <c r="N448" s="728">
        <v>372954</v>
      </c>
      <c r="O448" s="724">
        <f t="shared" si="44"/>
        <v>-8648.2949003261747</v>
      </c>
      <c r="P448" s="724">
        <f t="shared" si="45"/>
        <v>0</v>
      </c>
      <c r="Q448" s="674"/>
    </row>
    <row r="449" spans="2:17">
      <c r="B449" s="330"/>
      <c r="C449" s="720">
        <f>IF(D441="","-",+C448+1)</f>
        <v>2015</v>
      </c>
      <c r="D449" s="673">
        <f t="shared" si="46"/>
        <v>2041474.7822727272</v>
      </c>
      <c r="E449" s="726">
        <f t="shared" ref="E449:E506" si="47">IF(D449&gt;$J$444,$J$444,D449)</f>
        <v>47476.157727272723</v>
      </c>
      <c r="F449" s="726">
        <f t="shared" si="40"/>
        <v>1993998.6245454545</v>
      </c>
      <c r="G449" s="673">
        <f t="shared" si="41"/>
        <v>2017736.7034090909</v>
      </c>
      <c r="H449" s="721">
        <f>+J442*G449+E449</f>
        <v>357022.26722904394</v>
      </c>
      <c r="I449" s="727">
        <f>+J443*G449+E449</f>
        <v>357022.26722904394</v>
      </c>
      <c r="J449" s="724">
        <f t="shared" si="42"/>
        <v>0</v>
      </c>
      <c r="K449" s="724"/>
      <c r="L449" s="728">
        <v>375622</v>
      </c>
      <c r="M449" s="724">
        <f t="shared" si="43"/>
        <v>-18599.732770956063</v>
      </c>
      <c r="N449" s="728">
        <v>375622</v>
      </c>
      <c r="O449" s="724">
        <f t="shared" si="44"/>
        <v>-18599.732770956063</v>
      </c>
      <c r="P449" s="724">
        <f t="shared" si="45"/>
        <v>0</v>
      </c>
      <c r="Q449" s="674"/>
    </row>
    <row r="450" spans="2:17">
      <c r="B450" s="330"/>
      <c r="C450" s="720">
        <f>IF(D441="","-",+C449+1)</f>
        <v>2016</v>
      </c>
      <c r="D450" s="673">
        <f t="shared" si="46"/>
        <v>1993998.6245454545</v>
      </c>
      <c r="E450" s="726">
        <f t="shared" si="47"/>
        <v>47476.157727272723</v>
      </c>
      <c r="F450" s="726">
        <f t="shared" si="40"/>
        <v>1946522.4668181818</v>
      </c>
      <c r="G450" s="673">
        <f t="shared" si="41"/>
        <v>1970260.5456818182</v>
      </c>
      <c r="H450" s="721">
        <f>+J442*G450+E450</f>
        <v>349738.82935841405</v>
      </c>
      <c r="I450" s="727">
        <f>+J443*G450+E450</f>
        <v>349738.82935841405</v>
      </c>
      <c r="J450" s="724">
        <f t="shared" si="42"/>
        <v>0</v>
      </c>
      <c r="K450" s="724"/>
      <c r="L450" s="728">
        <v>363235</v>
      </c>
      <c r="M450" s="724">
        <f t="shared" si="43"/>
        <v>-13496.170641585952</v>
      </c>
      <c r="N450" s="728">
        <v>363235</v>
      </c>
      <c r="O450" s="724">
        <f t="shared" si="44"/>
        <v>-13496.170641585952</v>
      </c>
      <c r="P450" s="724">
        <f t="shared" si="45"/>
        <v>0</v>
      </c>
      <c r="Q450" s="674"/>
    </row>
    <row r="451" spans="2:17">
      <c r="B451" s="330"/>
      <c r="C451" s="720">
        <f>IF(D441="","-",+C450+1)</f>
        <v>2017</v>
      </c>
      <c r="D451" s="673">
        <f t="shared" si="46"/>
        <v>1946522.4668181818</v>
      </c>
      <c r="E451" s="726">
        <f t="shared" si="47"/>
        <v>47476.157727272723</v>
      </c>
      <c r="F451" s="726">
        <f t="shared" si="40"/>
        <v>1899046.3090909091</v>
      </c>
      <c r="G451" s="673">
        <f t="shared" si="41"/>
        <v>1922784.3879545454</v>
      </c>
      <c r="H451" s="721">
        <f>+J442*G451+E451</f>
        <v>342455.3914877841</v>
      </c>
      <c r="I451" s="727">
        <f>+J443*G451+E451</f>
        <v>342455.3914877841</v>
      </c>
      <c r="J451" s="724">
        <f t="shared" si="42"/>
        <v>0</v>
      </c>
      <c r="K451" s="724"/>
      <c r="L451" s="728">
        <v>367158</v>
      </c>
      <c r="M451" s="724">
        <f t="shared" si="43"/>
        <v>-24702.608512215898</v>
      </c>
      <c r="N451" s="728">
        <v>367158</v>
      </c>
      <c r="O451" s="724">
        <f t="shared" si="44"/>
        <v>-24702.608512215898</v>
      </c>
      <c r="P451" s="724">
        <f t="shared" si="45"/>
        <v>0</v>
      </c>
      <c r="Q451" s="674"/>
    </row>
    <row r="452" spans="2:17">
      <c r="B452" s="330"/>
      <c r="C452" s="720">
        <f>IF(D441="","-",+C451+1)</f>
        <v>2018</v>
      </c>
      <c r="D452" s="1455">
        <f t="shared" si="46"/>
        <v>1899046.3090909091</v>
      </c>
      <c r="E452" s="726">
        <f t="shared" si="47"/>
        <v>47476.157727272723</v>
      </c>
      <c r="F452" s="726">
        <f t="shared" si="40"/>
        <v>1851570.1513636364</v>
      </c>
      <c r="G452" s="673">
        <f t="shared" si="41"/>
        <v>1875308.2302272727</v>
      </c>
      <c r="H452" s="721">
        <f>+J442*G452+E452</f>
        <v>335171.95361715421</v>
      </c>
      <c r="I452" s="727">
        <f>+J443*G452+E452</f>
        <v>335171.95361715421</v>
      </c>
      <c r="J452" s="724">
        <f t="shared" si="42"/>
        <v>0</v>
      </c>
      <c r="K452" s="724"/>
      <c r="L452" s="728">
        <v>331181</v>
      </c>
      <c r="M452" s="724">
        <f t="shared" si="43"/>
        <v>3990.9536171542131</v>
      </c>
      <c r="N452" s="728">
        <v>331181</v>
      </c>
      <c r="O452" s="724">
        <f t="shared" si="44"/>
        <v>3990.9536171542131</v>
      </c>
      <c r="P452" s="724">
        <f t="shared" si="45"/>
        <v>0</v>
      </c>
      <c r="Q452" s="674"/>
    </row>
    <row r="453" spans="2:17">
      <c r="B453" s="330"/>
      <c r="C453" s="720">
        <f>IF(D441="","-",+C452+1)</f>
        <v>2019</v>
      </c>
      <c r="D453" s="1269">
        <f t="shared" si="46"/>
        <v>1851570.1513636364</v>
      </c>
      <c r="E453" s="726">
        <f t="shared" si="47"/>
        <v>47476.157727272723</v>
      </c>
      <c r="F453" s="726">
        <f t="shared" si="40"/>
        <v>1804093.9936363637</v>
      </c>
      <c r="G453" s="673">
        <f t="shared" si="41"/>
        <v>1827832.0725</v>
      </c>
      <c r="H453" s="721">
        <f>+J442*G453+E453</f>
        <v>327888.51574652432</v>
      </c>
      <c r="I453" s="727">
        <f>+J443*G453+E453</f>
        <v>327888.51574652432</v>
      </c>
      <c r="J453" s="724">
        <f t="shared" si="42"/>
        <v>0</v>
      </c>
      <c r="K453" s="724"/>
      <c r="L453" s="1452">
        <v>321999</v>
      </c>
      <c r="M453" s="724">
        <f t="shared" si="43"/>
        <v>5889.5157465243246</v>
      </c>
      <c r="N453" s="728">
        <v>321999</v>
      </c>
      <c r="O453" s="724">
        <f t="shared" si="44"/>
        <v>5889.5157465243246</v>
      </c>
      <c r="P453" s="724">
        <f t="shared" si="45"/>
        <v>0</v>
      </c>
      <c r="Q453" s="674"/>
    </row>
    <row r="454" spans="2:17">
      <c r="B454" s="330"/>
      <c r="C454" s="720">
        <f>IF(D441="","-",+C453+1)</f>
        <v>2020</v>
      </c>
      <c r="D454" s="673">
        <f t="shared" si="46"/>
        <v>1804093.9936363637</v>
      </c>
      <c r="E454" s="726">
        <f t="shared" si="47"/>
        <v>47476.157727272723</v>
      </c>
      <c r="F454" s="726">
        <f t="shared" si="40"/>
        <v>1756617.8359090909</v>
      </c>
      <c r="G454" s="673">
        <f t="shared" si="41"/>
        <v>1780355.9147727273</v>
      </c>
      <c r="H454" s="721">
        <f>+J442*G454+E454</f>
        <v>320605.07787589438</v>
      </c>
      <c r="I454" s="727">
        <f>+J443*G454+E454</f>
        <v>320605.07787589438</v>
      </c>
      <c r="J454" s="724">
        <f t="shared" si="42"/>
        <v>0</v>
      </c>
      <c r="K454" s="724"/>
      <c r="L454" s="728">
        <v>310179.34657467681</v>
      </c>
      <c r="M454" s="724">
        <f t="shared" si="43"/>
        <v>10425.731301217573</v>
      </c>
      <c r="N454" s="1548">
        <v>310179.34657467681</v>
      </c>
      <c r="O454" s="724">
        <f t="shared" si="44"/>
        <v>10425.731301217573</v>
      </c>
      <c r="P454" s="724">
        <f t="shared" si="45"/>
        <v>0</v>
      </c>
      <c r="Q454" s="674"/>
    </row>
    <row r="455" spans="2:17">
      <c r="B455" s="330"/>
      <c r="C455" s="720">
        <f>IF(D441="","-",+C454+1)</f>
        <v>2021</v>
      </c>
      <c r="D455" s="673">
        <f t="shared" si="46"/>
        <v>1756617.8359090909</v>
      </c>
      <c r="E455" s="726">
        <f t="shared" si="47"/>
        <v>47476.157727272723</v>
      </c>
      <c r="F455" s="726">
        <f t="shared" si="40"/>
        <v>1709141.6781818182</v>
      </c>
      <c r="G455" s="673">
        <f t="shared" si="41"/>
        <v>1732879.7570454546</v>
      </c>
      <c r="H455" s="721">
        <f>+J442*G455+E455</f>
        <v>313321.64000526449</v>
      </c>
      <c r="I455" s="727">
        <f>+J443*G455+E455</f>
        <v>313321.64000526449</v>
      </c>
      <c r="J455" s="724">
        <f t="shared" si="42"/>
        <v>0</v>
      </c>
      <c r="K455" s="724"/>
      <c r="L455" s="728">
        <v>295884.87969016167</v>
      </c>
      <c r="M455" s="724">
        <f t="shared" si="43"/>
        <v>17436.760315102816</v>
      </c>
      <c r="N455" s="1548">
        <v>295884.87969016167</v>
      </c>
      <c r="O455" s="724">
        <f t="shared" si="44"/>
        <v>17436.760315102816</v>
      </c>
      <c r="P455" s="724">
        <f t="shared" si="45"/>
        <v>0</v>
      </c>
      <c r="Q455" s="674"/>
    </row>
    <row r="456" spans="2:17">
      <c r="B456" s="330"/>
      <c r="C456" s="1291">
        <f>IF(D441="","-",+C455+1)</f>
        <v>2022</v>
      </c>
      <c r="D456" s="673">
        <f t="shared" si="46"/>
        <v>1709141.6781818182</v>
      </c>
      <c r="E456" s="726">
        <f t="shared" si="47"/>
        <v>47476.157727272723</v>
      </c>
      <c r="F456" s="726">
        <f t="shared" si="40"/>
        <v>1661665.5204545455</v>
      </c>
      <c r="G456" s="673">
        <f t="shared" si="41"/>
        <v>1685403.5993181819</v>
      </c>
      <c r="H456" s="721">
        <f>+J442*G456+E456</f>
        <v>306038.2021346346</v>
      </c>
      <c r="I456" s="727">
        <f>+J443*G456+E456</f>
        <v>306038.2021346346</v>
      </c>
      <c r="J456" s="724">
        <f t="shared" si="42"/>
        <v>0</v>
      </c>
      <c r="K456" s="724"/>
      <c r="L456" s="728">
        <v>0</v>
      </c>
      <c r="M456" s="724">
        <f t="shared" si="43"/>
        <v>0</v>
      </c>
      <c r="N456" s="728">
        <v>0</v>
      </c>
      <c r="O456" s="724">
        <f t="shared" si="44"/>
        <v>0</v>
      </c>
      <c r="P456" s="724">
        <f t="shared" si="45"/>
        <v>0</v>
      </c>
      <c r="Q456" s="674"/>
    </row>
    <row r="457" spans="2:17">
      <c r="B457" s="330"/>
      <c r="C457" s="720">
        <f>IF(D441="","-",+C456+1)</f>
        <v>2023</v>
      </c>
      <c r="D457" s="673">
        <f t="shared" si="46"/>
        <v>1661665.5204545455</v>
      </c>
      <c r="E457" s="726">
        <f t="shared" si="47"/>
        <v>47476.157727272723</v>
      </c>
      <c r="F457" s="726">
        <f t="shared" si="40"/>
        <v>1614189.3627272728</v>
      </c>
      <c r="G457" s="673">
        <f t="shared" si="41"/>
        <v>1637927.4415909091</v>
      </c>
      <c r="H457" s="721">
        <f>+J442*G457+E457</f>
        <v>298754.76426400465</v>
      </c>
      <c r="I457" s="727">
        <f>+J443*G457+E457</f>
        <v>298754.76426400465</v>
      </c>
      <c r="J457" s="724">
        <f t="shared" si="42"/>
        <v>0</v>
      </c>
      <c r="K457" s="724"/>
      <c r="L457" s="728"/>
      <c r="M457" s="724">
        <f t="shared" si="43"/>
        <v>0</v>
      </c>
      <c r="N457" s="728"/>
      <c r="O457" s="724">
        <f t="shared" si="44"/>
        <v>0</v>
      </c>
      <c r="P457" s="724">
        <f t="shared" si="45"/>
        <v>0</v>
      </c>
      <c r="Q457" s="674"/>
    </row>
    <row r="458" spans="2:17">
      <c r="B458" s="330"/>
      <c r="C458" s="720">
        <f>IF(D441="","-",+C457+1)</f>
        <v>2024</v>
      </c>
      <c r="D458" s="673">
        <f t="shared" si="46"/>
        <v>1614189.3627272728</v>
      </c>
      <c r="E458" s="726">
        <f t="shared" si="47"/>
        <v>47476.157727272723</v>
      </c>
      <c r="F458" s="726">
        <f t="shared" si="40"/>
        <v>1566713.2050000001</v>
      </c>
      <c r="G458" s="673">
        <f t="shared" si="41"/>
        <v>1590451.2838636364</v>
      </c>
      <c r="H458" s="721">
        <f>+J442*G458+E458</f>
        <v>291471.32639337477</v>
      </c>
      <c r="I458" s="727">
        <f>+J443*G458+E458</f>
        <v>291471.32639337477</v>
      </c>
      <c r="J458" s="724">
        <f t="shared" si="42"/>
        <v>0</v>
      </c>
      <c r="K458" s="724"/>
      <c r="L458" s="728"/>
      <c r="M458" s="724">
        <f t="shared" si="43"/>
        <v>0</v>
      </c>
      <c r="N458" s="728"/>
      <c r="O458" s="724">
        <f t="shared" si="44"/>
        <v>0</v>
      </c>
      <c r="P458" s="724">
        <f t="shared" si="45"/>
        <v>0</v>
      </c>
      <c r="Q458" s="674"/>
    </row>
    <row r="459" spans="2:17">
      <c r="B459" s="330"/>
      <c r="C459" s="720">
        <f>IF(D441="","-",+C458+1)</f>
        <v>2025</v>
      </c>
      <c r="D459" s="673">
        <f t="shared" si="46"/>
        <v>1566713.2050000001</v>
      </c>
      <c r="E459" s="726">
        <f t="shared" si="47"/>
        <v>47476.157727272723</v>
      </c>
      <c r="F459" s="726">
        <f t="shared" si="40"/>
        <v>1519237.0472727274</v>
      </c>
      <c r="G459" s="673">
        <f t="shared" si="41"/>
        <v>1542975.1261363637</v>
      </c>
      <c r="H459" s="721">
        <f>+J442*G459+E459</f>
        <v>284187.88852274488</v>
      </c>
      <c r="I459" s="727">
        <f>+J443*G459+E459</f>
        <v>284187.88852274488</v>
      </c>
      <c r="J459" s="724">
        <f t="shared" si="42"/>
        <v>0</v>
      </c>
      <c r="K459" s="724"/>
      <c r="L459" s="728"/>
      <c r="M459" s="724">
        <f t="shared" si="43"/>
        <v>0</v>
      </c>
      <c r="N459" s="728"/>
      <c r="O459" s="724">
        <f t="shared" si="44"/>
        <v>0</v>
      </c>
      <c r="P459" s="724">
        <f t="shared" si="45"/>
        <v>0</v>
      </c>
      <c r="Q459" s="674"/>
    </row>
    <row r="460" spans="2:17">
      <c r="B460" s="330"/>
      <c r="C460" s="720">
        <f>IF(D441="","-",+C459+1)</f>
        <v>2026</v>
      </c>
      <c r="D460" s="673">
        <f t="shared" si="46"/>
        <v>1519237.0472727274</v>
      </c>
      <c r="E460" s="726">
        <f t="shared" si="47"/>
        <v>47476.157727272723</v>
      </c>
      <c r="F460" s="726">
        <f t="shared" si="40"/>
        <v>1471760.8895454546</v>
      </c>
      <c r="G460" s="673">
        <f t="shared" si="41"/>
        <v>1495498.968409091</v>
      </c>
      <c r="H460" s="721">
        <f>+J442*G460+E460</f>
        <v>276904.45065211493</v>
      </c>
      <c r="I460" s="727">
        <f>+J443*G460+E460</f>
        <v>276904.45065211493</v>
      </c>
      <c r="J460" s="724">
        <f t="shared" si="42"/>
        <v>0</v>
      </c>
      <c r="K460" s="724"/>
      <c r="L460" s="728"/>
      <c r="M460" s="724">
        <f t="shared" si="43"/>
        <v>0</v>
      </c>
      <c r="N460" s="728"/>
      <c r="O460" s="724">
        <f t="shared" si="44"/>
        <v>0</v>
      </c>
      <c r="P460" s="724">
        <f t="shared" si="45"/>
        <v>0</v>
      </c>
      <c r="Q460" s="674"/>
    </row>
    <row r="461" spans="2:17">
      <c r="B461" s="330"/>
      <c r="C461" s="720">
        <f>IF(D441="","-",+C460+1)</f>
        <v>2027</v>
      </c>
      <c r="D461" s="673">
        <f t="shared" si="46"/>
        <v>1471760.8895454546</v>
      </c>
      <c r="E461" s="726">
        <f t="shared" si="47"/>
        <v>47476.157727272723</v>
      </c>
      <c r="F461" s="726">
        <f t="shared" si="40"/>
        <v>1424284.7318181819</v>
      </c>
      <c r="G461" s="673">
        <f t="shared" si="41"/>
        <v>1448022.8106818183</v>
      </c>
      <c r="H461" s="721">
        <f>+J442*G461+E461</f>
        <v>269621.01278148504</v>
      </c>
      <c r="I461" s="727">
        <f>+J443*G461+E461</f>
        <v>269621.01278148504</v>
      </c>
      <c r="J461" s="724">
        <f t="shared" si="42"/>
        <v>0</v>
      </c>
      <c r="K461" s="724"/>
      <c r="L461" s="728"/>
      <c r="M461" s="724">
        <f t="shared" si="43"/>
        <v>0</v>
      </c>
      <c r="N461" s="728"/>
      <c r="O461" s="724">
        <f t="shared" si="44"/>
        <v>0</v>
      </c>
      <c r="P461" s="724">
        <f t="shared" si="45"/>
        <v>0</v>
      </c>
      <c r="Q461" s="674"/>
    </row>
    <row r="462" spans="2:17">
      <c r="B462" s="330"/>
      <c r="C462" s="720">
        <f>IF(D441="","-",+C461+1)</f>
        <v>2028</v>
      </c>
      <c r="D462" s="673">
        <f t="shared" si="46"/>
        <v>1424284.7318181819</v>
      </c>
      <c r="E462" s="726">
        <f t="shared" si="47"/>
        <v>47476.157727272723</v>
      </c>
      <c r="F462" s="726">
        <f t="shared" si="40"/>
        <v>1376808.5740909092</v>
      </c>
      <c r="G462" s="673">
        <f t="shared" si="41"/>
        <v>1400546.6529545456</v>
      </c>
      <c r="H462" s="721">
        <f>+J442*G462+E462</f>
        <v>262337.57491085515</v>
      </c>
      <c r="I462" s="727">
        <f>+J443*G462+E462</f>
        <v>262337.57491085515</v>
      </c>
      <c r="J462" s="724">
        <f t="shared" si="42"/>
        <v>0</v>
      </c>
      <c r="K462" s="724"/>
      <c r="L462" s="728"/>
      <c r="M462" s="724">
        <f t="shared" si="43"/>
        <v>0</v>
      </c>
      <c r="N462" s="728"/>
      <c r="O462" s="724">
        <f t="shared" si="44"/>
        <v>0</v>
      </c>
      <c r="P462" s="724">
        <f t="shared" si="45"/>
        <v>0</v>
      </c>
      <c r="Q462" s="674"/>
    </row>
    <row r="463" spans="2:17">
      <c r="B463" s="330"/>
      <c r="C463" s="720">
        <f>IF(D441="","-",+C462+1)</f>
        <v>2029</v>
      </c>
      <c r="D463" s="673">
        <f t="shared" si="46"/>
        <v>1376808.5740909092</v>
      </c>
      <c r="E463" s="726">
        <f t="shared" si="47"/>
        <v>47476.157727272723</v>
      </c>
      <c r="F463" s="726">
        <f t="shared" si="40"/>
        <v>1329332.4163636365</v>
      </c>
      <c r="G463" s="673">
        <f t="shared" si="41"/>
        <v>1353070.4952272729</v>
      </c>
      <c r="H463" s="721">
        <f>+J442*G463+E463</f>
        <v>255054.13704022521</v>
      </c>
      <c r="I463" s="727">
        <f>+J443*G463+E463</f>
        <v>255054.13704022521</v>
      </c>
      <c r="J463" s="724">
        <f t="shared" si="42"/>
        <v>0</v>
      </c>
      <c r="K463" s="724"/>
      <c r="L463" s="728"/>
      <c r="M463" s="724">
        <f t="shared" si="43"/>
        <v>0</v>
      </c>
      <c r="N463" s="728"/>
      <c r="O463" s="724">
        <f t="shared" si="44"/>
        <v>0</v>
      </c>
      <c r="P463" s="724">
        <f t="shared" si="45"/>
        <v>0</v>
      </c>
      <c r="Q463" s="674"/>
    </row>
    <row r="464" spans="2:17">
      <c r="B464" s="330"/>
      <c r="C464" s="720">
        <f>IF(D441="","-",+C463+1)</f>
        <v>2030</v>
      </c>
      <c r="D464" s="673">
        <f t="shared" si="46"/>
        <v>1329332.4163636365</v>
      </c>
      <c r="E464" s="726">
        <f t="shared" si="47"/>
        <v>47476.157727272723</v>
      </c>
      <c r="F464" s="726">
        <f t="shared" si="40"/>
        <v>1281856.2586363638</v>
      </c>
      <c r="G464" s="673">
        <f t="shared" si="41"/>
        <v>1305594.3375000001</v>
      </c>
      <c r="H464" s="721">
        <f>+J442*G464+E464</f>
        <v>247770.69916959529</v>
      </c>
      <c r="I464" s="727">
        <f>+J443*G464+E464</f>
        <v>247770.69916959529</v>
      </c>
      <c r="J464" s="724">
        <f t="shared" si="42"/>
        <v>0</v>
      </c>
      <c r="K464" s="724"/>
      <c r="L464" s="728"/>
      <c r="M464" s="724">
        <f t="shared" si="43"/>
        <v>0</v>
      </c>
      <c r="N464" s="728"/>
      <c r="O464" s="724">
        <f t="shared" si="44"/>
        <v>0</v>
      </c>
      <c r="P464" s="724">
        <f t="shared" si="45"/>
        <v>0</v>
      </c>
      <c r="Q464" s="674"/>
    </row>
    <row r="465" spans="2:17">
      <c r="B465" s="330"/>
      <c r="C465" s="720">
        <f>IF(D441="","-",+C464+1)</f>
        <v>2031</v>
      </c>
      <c r="D465" s="673">
        <f t="shared" si="46"/>
        <v>1281856.2586363638</v>
      </c>
      <c r="E465" s="726">
        <f t="shared" si="47"/>
        <v>47476.157727272723</v>
      </c>
      <c r="F465" s="726">
        <f t="shared" si="40"/>
        <v>1234380.1009090911</v>
      </c>
      <c r="G465" s="673">
        <f t="shared" si="41"/>
        <v>1258118.1797727274</v>
      </c>
      <c r="H465" s="721">
        <f>+J442*G465+E465</f>
        <v>240487.2612989654</v>
      </c>
      <c r="I465" s="727">
        <f>+J443*G465+E465</f>
        <v>240487.2612989654</v>
      </c>
      <c r="J465" s="724">
        <f t="shared" si="42"/>
        <v>0</v>
      </c>
      <c r="K465" s="724"/>
      <c r="L465" s="728"/>
      <c r="M465" s="724">
        <f t="shared" si="43"/>
        <v>0</v>
      </c>
      <c r="N465" s="728"/>
      <c r="O465" s="724">
        <f t="shared" si="44"/>
        <v>0</v>
      </c>
      <c r="P465" s="724">
        <f t="shared" si="45"/>
        <v>0</v>
      </c>
      <c r="Q465" s="674"/>
    </row>
    <row r="466" spans="2:17">
      <c r="B466" s="330"/>
      <c r="C466" s="720">
        <f>IF(D441="","-",+C465+1)</f>
        <v>2032</v>
      </c>
      <c r="D466" s="673">
        <f t="shared" si="46"/>
        <v>1234380.1009090911</v>
      </c>
      <c r="E466" s="726">
        <f t="shared" si="47"/>
        <v>47476.157727272723</v>
      </c>
      <c r="F466" s="726">
        <f t="shared" si="40"/>
        <v>1186903.9431818184</v>
      </c>
      <c r="G466" s="673">
        <f t="shared" si="41"/>
        <v>1210642.0220454547</v>
      </c>
      <c r="H466" s="721">
        <f>+J442*G466+E466</f>
        <v>233203.82342833548</v>
      </c>
      <c r="I466" s="727">
        <f>+J443*G466+E466</f>
        <v>233203.82342833548</v>
      </c>
      <c r="J466" s="724">
        <f t="shared" si="42"/>
        <v>0</v>
      </c>
      <c r="K466" s="724"/>
      <c r="L466" s="728"/>
      <c r="M466" s="724">
        <f t="shared" si="43"/>
        <v>0</v>
      </c>
      <c r="N466" s="728"/>
      <c r="O466" s="724">
        <f t="shared" si="44"/>
        <v>0</v>
      </c>
      <c r="P466" s="724">
        <f t="shared" si="45"/>
        <v>0</v>
      </c>
      <c r="Q466" s="674"/>
    </row>
    <row r="467" spans="2:17">
      <c r="B467" s="330"/>
      <c r="C467" s="720">
        <f>IF(D441="","-",+C466+1)</f>
        <v>2033</v>
      </c>
      <c r="D467" s="673">
        <f t="shared" si="46"/>
        <v>1186903.9431818184</v>
      </c>
      <c r="E467" s="726">
        <f t="shared" si="47"/>
        <v>47476.157727272723</v>
      </c>
      <c r="F467" s="726">
        <f t="shared" si="40"/>
        <v>1139427.7854545456</v>
      </c>
      <c r="G467" s="673">
        <f t="shared" si="41"/>
        <v>1163165.864318182</v>
      </c>
      <c r="H467" s="721">
        <f>+J442*G467+E467</f>
        <v>225920.38555770557</v>
      </c>
      <c r="I467" s="727">
        <f>+J443*G467+E467</f>
        <v>225920.38555770557</v>
      </c>
      <c r="J467" s="724">
        <f t="shared" si="42"/>
        <v>0</v>
      </c>
      <c r="K467" s="724"/>
      <c r="L467" s="728"/>
      <c r="M467" s="724">
        <f t="shared" si="43"/>
        <v>0</v>
      </c>
      <c r="N467" s="728"/>
      <c r="O467" s="724">
        <f t="shared" si="44"/>
        <v>0</v>
      </c>
      <c r="P467" s="724">
        <f t="shared" si="45"/>
        <v>0</v>
      </c>
      <c r="Q467" s="674"/>
    </row>
    <row r="468" spans="2:17">
      <c r="B468" s="330"/>
      <c r="C468" s="720">
        <f>IF(D441="","-",+C467+1)</f>
        <v>2034</v>
      </c>
      <c r="D468" s="673">
        <f t="shared" si="46"/>
        <v>1139427.7854545456</v>
      </c>
      <c r="E468" s="726">
        <f t="shared" si="47"/>
        <v>47476.157727272723</v>
      </c>
      <c r="F468" s="726">
        <f t="shared" si="40"/>
        <v>1091951.6277272729</v>
      </c>
      <c r="G468" s="673">
        <f t="shared" si="41"/>
        <v>1115689.7065909093</v>
      </c>
      <c r="H468" s="721">
        <f>+J442*G468+E468</f>
        <v>218636.94768707565</v>
      </c>
      <c r="I468" s="727">
        <f>+J443*G468+E468</f>
        <v>218636.94768707565</v>
      </c>
      <c r="J468" s="724">
        <f t="shared" si="42"/>
        <v>0</v>
      </c>
      <c r="K468" s="724"/>
      <c r="L468" s="728"/>
      <c r="M468" s="724">
        <f t="shared" si="43"/>
        <v>0</v>
      </c>
      <c r="N468" s="728"/>
      <c r="O468" s="724">
        <f t="shared" si="44"/>
        <v>0</v>
      </c>
      <c r="P468" s="724">
        <f t="shared" si="45"/>
        <v>0</v>
      </c>
      <c r="Q468" s="674"/>
    </row>
    <row r="469" spans="2:17">
      <c r="B469" s="330"/>
      <c r="C469" s="720">
        <f>IF(D441="","-",+C468+1)</f>
        <v>2035</v>
      </c>
      <c r="D469" s="673">
        <f t="shared" si="46"/>
        <v>1091951.6277272729</v>
      </c>
      <c r="E469" s="726">
        <f t="shared" si="47"/>
        <v>47476.157727272723</v>
      </c>
      <c r="F469" s="726">
        <f t="shared" si="40"/>
        <v>1044475.4700000002</v>
      </c>
      <c r="G469" s="673">
        <f t="shared" si="41"/>
        <v>1068213.5488636366</v>
      </c>
      <c r="H469" s="721">
        <f>+J442*G469+E469</f>
        <v>211353.50981644576</v>
      </c>
      <c r="I469" s="727">
        <f>+J443*G469+E469</f>
        <v>211353.50981644576</v>
      </c>
      <c r="J469" s="724">
        <f t="shared" si="42"/>
        <v>0</v>
      </c>
      <c r="K469" s="724"/>
      <c r="L469" s="728"/>
      <c r="M469" s="724">
        <f t="shared" si="43"/>
        <v>0</v>
      </c>
      <c r="N469" s="728"/>
      <c r="O469" s="724">
        <f t="shared" si="44"/>
        <v>0</v>
      </c>
      <c r="P469" s="724">
        <f t="shared" si="45"/>
        <v>0</v>
      </c>
      <c r="Q469" s="674"/>
    </row>
    <row r="470" spans="2:17">
      <c r="B470" s="330"/>
      <c r="C470" s="720">
        <f>IF(D441="","-",+C469+1)</f>
        <v>2036</v>
      </c>
      <c r="D470" s="673">
        <f t="shared" si="46"/>
        <v>1044475.4700000002</v>
      </c>
      <c r="E470" s="726">
        <f t="shared" si="47"/>
        <v>47476.157727272723</v>
      </c>
      <c r="F470" s="726">
        <f t="shared" si="40"/>
        <v>996999.31227272749</v>
      </c>
      <c r="G470" s="673">
        <f t="shared" si="41"/>
        <v>1020737.3911363638</v>
      </c>
      <c r="H470" s="721">
        <f>+J442*G470+E470</f>
        <v>204070.07194581584</v>
      </c>
      <c r="I470" s="727">
        <f>+J443*G470+E470</f>
        <v>204070.07194581584</v>
      </c>
      <c r="J470" s="724">
        <f t="shared" si="42"/>
        <v>0</v>
      </c>
      <c r="K470" s="724"/>
      <c r="L470" s="728"/>
      <c r="M470" s="724">
        <f t="shared" si="43"/>
        <v>0</v>
      </c>
      <c r="N470" s="728"/>
      <c r="O470" s="724">
        <f t="shared" si="44"/>
        <v>0</v>
      </c>
      <c r="P470" s="724">
        <f t="shared" si="45"/>
        <v>0</v>
      </c>
      <c r="Q470" s="674"/>
    </row>
    <row r="471" spans="2:17">
      <c r="B471" s="330"/>
      <c r="C471" s="720">
        <f>IF(D441="","-",+C470+1)</f>
        <v>2037</v>
      </c>
      <c r="D471" s="673">
        <f t="shared" si="46"/>
        <v>996999.31227272749</v>
      </c>
      <c r="E471" s="726">
        <f t="shared" si="47"/>
        <v>47476.157727272723</v>
      </c>
      <c r="F471" s="726">
        <f t="shared" si="40"/>
        <v>949523.15454545477</v>
      </c>
      <c r="G471" s="673">
        <f t="shared" si="41"/>
        <v>973261.23340909113</v>
      </c>
      <c r="H471" s="721">
        <f>+J442*G471+E471</f>
        <v>196786.63407518592</v>
      </c>
      <c r="I471" s="727">
        <f>+J443*G471+E471</f>
        <v>196786.63407518592</v>
      </c>
      <c r="J471" s="724">
        <f t="shared" si="42"/>
        <v>0</v>
      </c>
      <c r="K471" s="724"/>
      <c r="L471" s="728"/>
      <c r="M471" s="724">
        <f t="shared" si="43"/>
        <v>0</v>
      </c>
      <c r="N471" s="728"/>
      <c r="O471" s="724">
        <f t="shared" si="44"/>
        <v>0</v>
      </c>
      <c r="P471" s="724">
        <f t="shared" si="45"/>
        <v>0</v>
      </c>
      <c r="Q471" s="674"/>
    </row>
    <row r="472" spans="2:17">
      <c r="B472" s="330"/>
      <c r="C472" s="720">
        <f>IF(D441="","-",+C471+1)</f>
        <v>2038</v>
      </c>
      <c r="D472" s="673">
        <f t="shared" si="46"/>
        <v>949523.15454545477</v>
      </c>
      <c r="E472" s="726">
        <f t="shared" si="47"/>
        <v>47476.157727272723</v>
      </c>
      <c r="F472" s="726">
        <f t="shared" si="40"/>
        <v>902046.99681818206</v>
      </c>
      <c r="G472" s="673">
        <f t="shared" si="41"/>
        <v>925785.07568181842</v>
      </c>
      <c r="H472" s="721">
        <f>+J442*G472+E472</f>
        <v>189503.19620455604</v>
      </c>
      <c r="I472" s="727">
        <f>+J443*G472+E472</f>
        <v>189503.19620455604</v>
      </c>
      <c r="J472" s="724">
        <f t="shared" si="42"/>
        <v>0</v>
      </c>
      <c r="K472" s="724"/>
      <c r="L472" s="728"/>
      <c r="M472" s="724">
        <f t="shared" si="43"/>
        <v>0</v>
      </c>
      <c r="N472" s="728"/>
      <c r="O472" s="724">
        <f t="shared" si="44"/>
        <v>0</v>
      </c>
      <c r="P472" s="724">
        <f t="shared" si="45"/>
        <v>0</v>
      </c>
      <c r="Q472" s="674"/>
    </row>
    <row r="473" spans="2:17">
      <c r="B473" s="330"/>
      <c r="C473" s="720">
        <f>IF(D441="","-",+C472+1)</f>
        <v>2039</v>
      </c>
      <c r="D473" s="673">
        <f t="shared" si="46"/>
        <v>902046.99681818206</v>
      </c>
      <c r="E473" s="726">
        <f t="shared" si="47"/>
        <v>47476.157727272723</v>
      </c>
      <c r="F473" s="726">
        <f t="shared" si="40"/>
        <v>854570.83909090934</v>
      </c>
      <c r="G473" s="673">
        <f t="shared" si="41"/>
        <v>878308.9179545457</v>
      </c>
      <c r="H473" s="721">
        <f>+J442*G473+E473</f>
        <v>182219.75833392612</v>
      </c>
      <c r="I473" s="727">
        <f>+J443*G473+E473</f>
        <v>182219.75833392612</v>
      </c>
      <c r="J473" s="724">
        <f t="shared" si="42"/>
        <v>0</v>
      </c>
      <c r="K473" s="724"/>
      <c r="L473" s="728"/>
      <c r="M473" s="724">
        <f t="shared" si="43"/>
        <v>0</v>
      </c>
      <c r="N473" s="728"/>
      <c r="O473" s="724">
        <f t="shared" si="44"/>
        <v>0</v>
      </c>
      <c r="P473" s="724">
        <f t="shared" si="45"/>
        <v>0</v>
      </c>
      <c r="Q473" s="674"/>
    </row>
    <row r="474" spans="2:17">
      <c r="B474" s="330"/>
      <c r="C474" s="720">
        <f>IF(D441="","-",+C473+1)</f>
        <v>2040</v>
      </c>
      <c r="D474" s="673">
        <f t="shared" si="46"/>
        <v>854570.83909090934</v>
      </c>
      <c r="E474" s="726">
        <f t="shared" si="47"/>
        <v>47476.157727272723</v>
      </c>
      <c r="F474" s="726">
        <f t="shared" si="40"/>
        <v>807094.68136363663</v>
      </c>
      <c r="G474" s="673">
        <f t="shared" si="41"/>
        <v>830832.76022727299</v>
      </c>
      <c r="H474" s="721">
        <f>+J442*G474+E474</f>
        <v>174936.3204632962</v>
      </c>
      <c r="I474" s="727">
        <f>+J443*G474+E474</f>
        <v>174936.3204632962</v>
      </c>
      <c r="J474" s="724">
        <f t="shared" si="42"/>
        <v>0</v>
      </c>
      <c r="K474" s="724"/>
      <c r="L474" s="728"/>
      <c r="M474" s="724">
        <f t="shared" si="43"/>
        <v>0</v>
      </c>
      <c r="N474" s="728"/>
      <c r="O474" s="724">
        <f t="shared" si="44"/>
        <v>0</v>
      </c>
      <c r="P474" s="724">
        <f t="shared" si="45"/>
        <v>0</v>
      </c>
      <c r="Q474" s="674"/>
    </row>
    <row r="475" spans="2:17">
      <c r="B475" s="330"/>
      <c r="C475" s="720">
        <f>IF(D441="","-",+C474+1)</f>
        <v>2041</v>
      </c>
      <c r="D475" s="673">
        <f t="shared" si="46"/>
        <v>807094.68136363663</v>
      </c>
      <c r="E475" s="726">
        <f t="shared" si="47"/>
        <v>47476.157727272723</v>
      </c>
      <c r="F475" s="726">
        <f t="shared" si="40"/>
        <v>759618.52363636391</v>
      </c>
      <c r="G475" s="673">
        <f t="shared" si="41"/>
        <v>783356.60250000027</v>
      </c>
      <c r="H475" s="721">
        <f>+J442*G475+E475</f>
        <v>167652.88259266631</v>
      </c>
      <c r="I475" s="727">
        <f>+J443*G475+E475</f>
        <v>167652.88259266631</v>
      </c>
      <c r="J475" s="724">
        <f t="shared" si="42"/>
        <v>0</v>
      </c>
      <c r="K475" s="724"/>
      <c r="L475" s="728"/>
      <c r="M475" s="724">
        <f t="shared" si="43"/>
        <v>0</v>
      </c>
      <c r="N475" s="728"/>
      <c r="O475" s="724">
        <f t="shared" si="44"/>
        <v>0</v>
      </c>
      <c r="P475" s="724">
        <f t="shared" si="45"/>
        <v>0</v>
      </c>
      <c r="Q475" s="674"/>
    </row>
    <row r="476" spans="2:17">
      <c r="B476" s="330"/>
      <c r="C476" s="720">
        <f>IF(D441="","-",+C475+1)</f>
        <v>2042</v>
      </c>
      <c r="D476" s="673">
        <f t="shared" si="46"/>
        <v>759618.52363636391</v>
      </c>
      <c r="E476" s="726">
        <f t="shared" si="47"/>
        <v>47476.157727272723</v>
      </c>
      <c r="F476" s="726">
        <f t="shared" si="40"/>
        <v>712142.3659090912</v>
      </c>
      <c r="G476" s="673">
        <f t="shared" si="41"/>
        <v>735880.44477272755</v>
      </c>
      <c r="H476" s="721">
        <f>+J442*G476+E476</f>
        <v>160369.44472203639</v>
      </c>
      <c r="I476" s="727">
        <f>+J443*G476+E476</f>
        <v>160369.44472203639</v>
      </c>
      <c r="J476" s="724">
        <f t="shared" si="42"/>
        <v>0</v>
      </c>
      <c r="K476" s="724"/>
      <c r="L476" s="728"/>
      <c r="M476" s="724">
        <f t="shared" si="43"/>
        <v>0</v>
      </c>
      <c r="N476" s="728"/>
      <c r="O476" s="724">
        <f t="shared" si="44"/>
        <v>0</v>
      </c>
      <c r="P476" s="724">
        <f t="shared" si="45"/>
        <v>0</v>
      </c>
      <c r="Q476" s="674"/>
    </row>
    <row r="477" spans="2:17">
      <c r="B477" s="330"/>
      <c r="C477" s="720">
        <f>IF(D441="","-",+C476+1)</f>
        <v>2043</v>
      </c>
      <c r="D477" s="673">
        <f t="shared" si="46"/>
        <v>712142.3659090912</v>
      </c>
      <c r="E477" s="726">
        <f t="shared" si="47"/>
        <v>47476.157727272723</v>
      </c>
      <c r="F477" s="726">
        <f t="shared" si="40"/>
        <v>664666.20818181848</v>
      </c>
      <c r="G477" s="673">
        <f t="shared" si="41"/>
        <v>688404.28704545484</v>
      </c>
      <c r="H477" s="721">
        <f>+J442*G477+E477</f>
        <v>153086.00685140648</v>
      </c>
      <c r="I477" s="727">
        <f>+J443*G477+E477</f>
        <v>153086.00685140648</v>
      </c>
      <c r="J477" s="724">
        <f t="shared" si="42"/>
        <v>0</v>
      </c>
      <c r="K477" s="724"/>
      <c r="L477" s="728"/>
      <c r="M477" s="724">
        <f t="shared" si="43"/>
        <v>0</v>
      </c>
      <c r="N477" s="728"/>
      <c r="O477" s="724">
        <f t="shared" si="44"/>
        <v>0</v>
      </c>
      <c r="P477" s="724">
        <f t="shared" si="45"/>
        <v>0</v>
      </c>
      <c r="Q477" s="674"/>
    </row>
    <row r="478" spans="2:17">
      <c r="B478" s="330"/>
      <c r="C478" s="720">
        <f>IF(D441="","-",+C477+1)</f>
        <v>2044</v>
      </c>
      <c r="D478" s="673">
        <f t="shared" si="46"/>
        <v>664666.20818181848</v>
      </c>
      <c r="E478" s="726">
        <f t="shared" si="47"/>
        <v>47476.157727272723</v>
      </c>
      <c r="F478" s="726">
        <f t="shared" si="40"/>
        <v>617190.05045454577</v>
      </c>
      <c r="G478" s="673">
        <f t="shared" si="41"/>
        <v>640928.12931818212</v>
      </c>
      <c r="H478" s="721">
        <f>+J442*G478+E478</f>
        <v>145802.56898077656</v>
      </c>
      <c r="I478" s="727">
        <f>+J443*G478+E478</f>
        <v>145802.56898077656</v>
      </c>
      <c r="J478" s="724">
        <f t="shared" si="42"/>
        <v>0</v>
      </c>
      <c r="K478" s="724"/>
      <c r="L478" s="728"/>
      <c r="M478" s="724">
        <f t="shared" si="43"/>
        <v>0</v>
      </c>
      <c r="N478" s="728"/>
      <c r="O478" s="724">
        <f t="shared" si="44"/>
        <v>0</v>
      </c>
      <c r="P478" s="724">
        <f t="shared" si="45"/>
        <v>0</v>
      </c>
      <c r="Q478" s="674"/>
    </row>
    <row r="479" spans="2:17">
      <c r="B479" s="330"/>
      <c r="C479" s="720">
        <f>IF(D441="","-",+C478+1)</f>
        <v>2045</v>
      </c>
      <c r="D479" s="673">
        <f t="shared" si="46"/>
        <v>617190.05045454577</v>
      </c>
      <c r="E479" s="726">
        <f t="shared" si="47"/>
        <v>47476.157727272723</v>
      </c>
      <c r="F479" s="726">
        <f t="shared" si="40"/>
        <v>569713.89272727305</v>
      </c>
      <c r="G479" s="673">
        <f t="shared" si="41"/>
        <v>593451.97159090941</v>
      </c>
      <c r="H479" s="721">
        <f>+J442*G479+E479</f>
        <v>138519.13111014667</v>
      </c>
      <c r="I479" s="727">
        <f>+J443*G479+E479</f>
        <v>138519.13111014667</v>
      </c>
      <c r="J479" s="724">
        <f t="shared" si="42"/>
        <v>0</v>
      </c>
      <c r="K479" s="724"/>
      <c r="L479" s="728"/>
      <c r="M479" s="724">
        <f t="shared" si="43"/>
        <v>0</v>
      </c>
      <c r="N479" s="728"/>
      <c r="O479" s="724">
        <f t="shared" si="44"/>
        <v>0</v>
      </c>
      <c r="P479" s="724">
        <f t="shared" si="45"/>
        <v>0</v>
      </c>
      <c r="Q479" s="674"/>
    </row>
    <row r="480" spans="2:17">
      <c r="B480" s="330"/>
      <c r="C480" s="720">
        <f>IF(D441="","-",+C479+1)</f>
        <v>2046</v>
      </c>
      <c r="D480" s="673">
        <f t="shared" si="46"/>
        <v>569713.89272727305</v>
      </c>
      <c r="E480" s="726">
        <f t="shared" si="47"/>
        <v>47476.157727272723</v>
      </c>
      <c r="F480" s="726">
        <f t="shared" si="40"/>
        <v>522237.73500000034</v>
      </c>
      <c r="G480" s="673">
        <f t="shared" si="41"/>
        <v>545975.81386363669</v>
      </c>
      <c r="H480" s="721">
        <f>+J442*G480+E480</f>
        <v>131235.69323951675</v>
      </c>
      <c r="I480" s="727">
        <f>+J443*G480+E480</f>
        <v>131235.69323951675</v>
      </c>
      <c r="J480" s="724">
        <f t="shared" si="42"/>
        <v>0</v>
      </c>
      <c r="K480" s="724"/>
      <c r="L480" s="728"/>
      <c r="M480" s="724">
        <f t="shared" si="43"/>
        <v>0</v>
      </c>
      <c r="N480" s="728"/>
      <c r="O480" s="724">
        <f t="shared" si="44"/>
        <v>0</v>
      </c>
      <c r="P480" s="724">
        <f t="shared" si="45"/>
        <v>0</v>
      </c>
      <c r="Q480" s="674"/>
    </row>
    <row r="481" spans="2:17">
      <c r="B481" s="330"/>
      <c r="C481" s="720">
        <f>IF(D441="","-",+C480+1)</f>
        <v>2047</v>
      </c>
      <c r="D481" s="673">
        <f t="shared" si="46"/>
        <v>522237.73500000034</v>
      </c>
      <c r="E481" s="726">
        <f t="shared" si="47"/>
        <v>47476.157727272723</v>
      </c>
      <c r="F481" s="726">
        <f t="shared" si="40"/>
        <v>474761.57727272762</v>
      </c>
      <c r="G481" s="673">
        <f t="shared" si="41"/>
        <v>498499.65613636398</v>
      </c>
      <c r="H481" s="721">
        <f>+J442*G481+E481</f>
        <v>123952.25536888684</v>
      </c>
      <c r="I481" s="727">
        <f>+J443*G481+E481</f>
        <v>123952.25536888684</v>
      </c>
      <c r="J481" s="724">
        <f t="shared" si="42"/>
        <v>0</v>
      </c>
      <c r="K481" s="724"/>
      <c r="L481" s="728"/>
      <c r="M481" s="724">
        <f t="shared" si="43"/>
        <v>0</v>
      </c>
      <c r="N481" s="728"/>
      <c r="O481" s="724">
        <f t="shared" si="44"/>
        <v>0</v>
      </c>
      <c r="P481" s="724">
        <f t="shared" si="45"/>
        <v>0</v>
      </c>
      <c r="Q481" s="674"/>
    </row>
    <row r="482" spans="2:17">
      <c r="B482" s="330"/>
      <c r="C482" s="720">
        <f>IF(D441="","-",+C481+1)</f>
        <v>2048</v>
      </c>
      <c r="D482" s="673">
        <f t="shared" si="46"/>
        <v>474761.57727272762</v>
      </c>
      <c r="E482" s="726">
        <f t="shared" si="47"/>
        <v>47476.157727272723</v>
      </c>
      <c r="F482" s="726">
        <f t="shared" si="40"/>
        <v>427285.4195454549</v>
      </c>
      <c r="G482" s="673">
        <f t="shared" si="41"/>
        <v>451023.49840909126</v>
      </c>
      <c r="H482" s="721">
        <f>+J442*G482+E482</f>
        <v>116668.81749825695</v>
      </c>
      <c r="I482" s="727">
        <f>+J443*G482+E482</f>
        <v>116668.81749825695</v>
      </c>
      <c r="J482" s="724">
        <f t="shared" si="42"/>
        <v>0</v>
      </c>
      <c r="K482" s="724"/>
      <c r="L482" s="728"/>
      <c r="M482" s="724">
        <f t="shared" si="43"/>
        <v>0</v>
      </c>
      <c r="N482" s="728"/>
      <c r="O482" s="724">
        <f t="shared" si="44"/>
        <v>0</v>
      </c>
      <c r="P482" s="724">
        <f t="shared" si="45"/>
        <v>0</v>
      </c>
      <c r="Q482" s="674"/>
    </row>
    <row r="483" spans="2:17">
      <c r="B483" s="330"/>
      <c r="C483" s="720">
        <f>IF(D441="","-",+C482+1)</f>
        <v>2049</v>
      </c>
      <c r="D483" s="673">
        <f t="shared" si="46"/>
        <v>427285.4195454549</v>
      </c>
      <c r="E483" s="726">
        <f t="shared" si="47"/>
        <v>47476.157727272723</v>
      </c>
      <c r="F483" s="726">
        <f t="shared" si="40"/>
        <v>379809.26181818219</v>
      </c>
      <c r="G483" s="673">
        <f t="shared" si="41"/>
        <v>403547.34068181855</v>
      </c>
      <c r="H483" s="721">
        <f>+J442*G483+E483</f>
        <v>109385.37962762703</v>
      </c>
      <c r="I483" s="727">
        <f>+J443*G483+E483</f>
        <v>109385.37962762703</v>
      </c>
      <c r="J483" s="724">
        <f t="shared" si="42"/>
        <v>0</v>
      </c>
      <c r="K483" s="724"/>
      <c r="L483" s="728"/>
      <c r="M483" s="724">
        <f t="shared" si="43"/>
        <v>0</v>
      </c>
      <c r="N483" s="728"/>
      <c r="O483" s="724">
        <f t="shared" si="44"/>
        <v>0</v>
      </c>
      <c r="P483" s="724">
        <f t="shared" si="45"/>
        <v>0</v>
      </c>
      <c r="Q483" s="674"/>
    </row>
    <row r="484" spans="2:17">
      <c r="B484" s="330"/>
      <c r="C484" s="720">
        <f>IF(D441="","-",+C483+1)</f>
        <v>2050</v>
      </c>
      <c r="D484" s="673">
        <f t="shared" si="46"/>
        <v>379809.26181818219</v>
      </c>
      <c r="E484" s="726">
        <f t="shared" si="47"/>
        <v>47476.157727272723</v>
      </c>
      <c r="F484" s="726">
        <f t="shared" si="40"/>
        <v>332333.10409090947</v>
      </c>
      <c r="G484" s="673">
        <f t="shared" si="41"/>
        <v>356071.18295454583</v>
      </c>
      <c r="H484" s="721">
        <f>+J442*G484+E484</f>
        <v>102101.94175699711</v>
      </c>
      <c r="I484" s="727">
        <f>+J443*G484+E484</f>
        <v>102101.94175699711</v>
      </c>
      <c r="J484" s="724">
        <f t="shared" si="42"/>
        <v>0</v>
      </c>
      <c r="K484" s="724"/>
      <c r="L484" s="728"/>
      <c r="M484" s="724">
        <f t="shared" si="43"/>
        <v>0</v>
      </c>
      <c r="N484" s="728"/>
      <c r="O484" s="724">
        <f t="shared" si="44"/>
        <v>0</v>
      </c>
      <c r="P484" s="724">
        <f t="shared" si="45"/>
        <v>0</v>
      </c>
      <c r="Q484" s="674"/>
    </row>
    <row r="485" spans="2:17">
      <c r="B485" s="330"/>
      <c r="C485" s="720">
        <f>IF(D441="","-",+C484+1)</f>
        <v>2051</v>
      </c>
      <c r="D485" s="673">
        <f t="shared" si="46"/>
        <v>332333.10409090947</v>
      </c>
      <c r="E485" s="726">
        <f t="shared" si="47"/>
        <v>47476.157727272723</v>
      </c>
      <c r="F485" s="726">
        <f t="shared" si="40"/>
        <v>284856.94636363676</v>
      </c>
      <c r="G485" s="673">
        <f t="shared" si="41"/>
        <v>308595.02522727312</v>
      </c>
      <c r="H485" s="721">
        <f>+J442*G485+E485</f>
        <v>94818.503886367209</v>
      </c>
      <c r="I485" s="727">
        <f>+J443*G485+E485</f>
        <v>94818.503886367209</v>
      </c>
      <c r="J485" s="724">
        <f t="shared" si="42"/>
        <v>0</v>
      </c>
      <c r="K485" s="724"/>
      <c r="L485" s="728"/>
      <c r="M485" s="724">
        <f t="shared" si="43"/>
        <v>0</v>
      </c>
      <c r="N485" s="728"/>
      <c r="O485" s="724">
        <f t="shared" si="44"/>
        <v>0</v>
      </c>
      <c r="P485" s="724">
        <f t="shared" si="45"/>
        <v>0</v>
      </c>
      <c r="Q485" s="674"/>
    </row>
    <row r="486" spans="2:17">
      <c r="B486" s="330"/>
      <c r="C486" s="720">
        <f>IF(D441="","-",+C485+1)</f>
        <v>2052</v>
      </c>
      <c r="D486" s="673">
        <f t="shared" si="46"/>
        <v>284856.94636363676</v>
      </c>
      <c r="E486" s="726">
        <f t="shared" si="47"/>
        <v>47476.157727272723</v>
      </c>
      <c r="F486" s="726">
        <f t="shared" si="40"/>
        <v>237380.78863636404</v>
      </c>
      <c r="G486" s="673">
        <f t="shared" si="41"/>
        <v>261118.8675000004</v>
      </c>
      <c r="H486" s="721">
        <f>+J442*G486+E486</f>
        <v>87535.066015737306</v>
      </c>
      <c r="I486" s="727">
        <f>+J443*G486+E486</f>
        <v>87535.066015737306</v>
      </c>
      <c r="J486" s="724">
        <f t="shared" si="42"/>
        <v>0</v>
      </c>
      <c r="K486" s="724"/>
      <c r="L486" s="728"/>
      <c r="M486" s="724">
        <f t="shared" si="43"/>
        <v>0</v>
      </c>
      <c r="N486" s="728"/>
      <c r="O486" s="724">
        <f t="shared" si="44"/>
        <v>0</v>
      </c>
      <c r="P486" s="724">
        <f t="shared" si="45"/>
        <v>0</v>
      </c>
      <c r="Q486" s="674"/>
    </row>
    <row r="487" spans="2:17">
      <c r="B487" s="330"/>
      <c r="C487" s="720">
        <f>IF(D441="","-",+C486+1)</f>
        <v>2053</v>
      </c>
      <c r="D487" s="673">
        <f t="shared" si="46"/>
        <v>237380.78863636404</v>
      </c>
      <c r="E487" s="726">
        <f t="shared" si="47"/>
        <v>47476.157727272723</v>
      </c>
      <c r="F487" s="726">
        <f t="shared" si="40"/>
        <v>189904.63090909133</v>
      </c>
      <c r="G487" s="673">
        <f t="shared" si="41"/>
        <v>213642.70977272769</v>
      </c>
      <c r="H487" s="721">
        <f>+J442*G487+E487</f>
        <v>80251.628145107388</v>
      </c>
      <c r="I487" s="727">
        <f>+J443*G487+E487</f>
        <v>80251.628145107388</v>
      </c>
      <c r="J487" s="724">
        <f t="shared" si="42"/>
        <v>0</v>
      </c>
      <c r="K487" s="724"/>
      <c r="L487" s="728"/>
      <c r="M487" s="724">
        <f t="shared" si="43"/>
        <v>0</v>
      </c>
      <c r="N487" s="728"/>
      <c r="O487" s="724">
        <f t="shared" si="44"/>
        <v>0</v>
      </c>
      <c r="P487" s="724">
        <f t="shared" si="45"/>
        <v>0</v>
      </c>
      <c r="Q487" s="674"/>
    </row>
    <row r="488" spans="2:17">
      <c r="B488" s="330"/>
      <c r="C488" s="720">
        <f>IF(D441="","-",+C487+1)</f>
        <v>2054</v>
      </c>
      <c r="D488" s="673">
        <f t="shared" si="46"/>
        <v>189904.63090909133</v>
      </c>
      <c r="E488" s="726">
        <f t="shared" si="47"/>
        <v>47476.157727272723</v>
      </c>
      <c r="F488" s="726">
        <f t="shared" si="40"/>
        <v>142428.47318181861</v>
      </c>
      <c r="G488" s="673">
        <f t="shared" si="41"/>
        <v>166166.55204545497</v>
      </c>
      <c r="H488" s="721">
        <f>+J442*G488+E488</f>
        <v>72968.190274477471</v>
      </c>
      <c r="I488" s="727">
        <f>+J443*G488+E488</f>
        <v>72968.190274477471</v>
      </c>
      <c r="J488" s="724">
        <f t="shared" si="42"/>
        <v>0</v>
      </c>
      <c r="K488" s="724"/>
      <c r="L488" s="728"/>
      <c r="M488" s="724">
        <f t="shared" si="43"/>
        <v>0</v>
      </c>
      <c r="N488" s="728"/>
      <c r="O488" s="724">
        <f t="shared" si="44"/>
        <v>0</v>
      </c>
      <c r="P488" s="724">
        <f t="shared" si="45"/>
        <v>0</v>
      </c>
      <c r="Q488" s="674"/>
    </row>
    <row r="489" spans="2:17">
      <c r="B489" s="330"/>
      <c r="C489" s="720">
        <f>IF(D441="","-",+C488+1)</f>
        <v>2055</v>
      </c>
      <c r="D489" s="673">
        <f t="shared" si="46"/>
        <v>142428.47318181861</v>
      </c>
      <c r="E489" s="726">
        <f t="shared" si="47"/>
        <v>47476.157727272723</v>
      </c>
      <c r="F489" s="726">
        <f t="shared" si="40"/>
        <v>94952.315454545897</v>
      </c>
      <c r="G489" s="673">
        <f t="shared" si="41"/>
        <v>118690.39431818225</v>
      </c>
      <c r="H489" s="721">
        <f>+J442*G489+E489</f>
        <v>65684.752403847568</v>
      </c>
      <c r="I489" s="727">
        <f>+J443*G489+E489</f>
        <v>65684.752403847568</v>
      </c>
      <c r="J489" s="724">
        <f t="shared" si="42"/>
        <v>0</v>
      </c>
      <c r="K489" s="724"/>
      <c r="L489" s="728"/>
      <c r="M489" s="724">
        <f t="shared" si="43"/>
        <v>0</v>
      </c>
      <c r="N489" s="728"/>
      <c r="O489" s="724">
        <f t="shared" si="44"/>
        <v>0</v>
      </c>
      <c r="P489" s="724">
        <f t="shared" si="45"/>
        <v>0</v>
      </c>
      <c r="Q489" s="674"/>
    </row>
    <row r="490" spans="2:17">
      <c r="B490" s="330"/>
      <c r="C490" s="720">
        <f>IF(D441="","-",+C489+1)</f>
        <v>2056</v>
      </c>
      <c r="D490" s="673">
        <f t="shared" si="46"/>
        <v>94952.315454545897</v>
      </c>
      <c r="E490" s="726">
        <f t="shared" si="47"/>
        <v>47476.157727272723</v>
      </c>
      <c r="F490" s="726">
        <f t="shared" si="40"/>
        <v>47476.157727273174</v>
      </c>
      <c r="G490" s="673">
        <f t="shared" si="41"/>
        <v>71214.236590909539</v>
      </c>
      <c r="H490" s="721">
        <f>+J442*G490+E490</f>
        <v>58401.314533217657</v>
      </c>
      <c r="I490" s="727">
        <f>+J443*G490+E490</f>
        <v>58401.314533217657</v>
      </c>
      <c r="J490" s="724">
        <f t="shared" si="42"/>
        <v>0</v>
      </c>
      <c r="K490" s="724"/>
      <c r="L490" s="728"/>
      <c r="M490" s="724">
        <f t="shared" si="43"/>
        <v>0</v>
      </c>
      <c r="N490" s="728"/>
      <c r="O490" s="724">
        <f t="shared" si="44"/>
        <v>0</v>
      </c>
      <c r="P490" s="724">
        <f t="shared" si="45"/>
        <v>0</v>
      </c>
      <c r="Q490" s="674"/>
    </row>
    <row r="491" spans="2:17">
      <c r="B491" s="330"/>
      <c r="C491" s="720">
        <f>IF(D441="","-",+C490+1)</f>
        <v>2057</v>
      </c>
      <c r="D491" s="673">
        <f t="shared" si="46"/>
        <v>47476.157727273174</v>
      </c>
      <c r="E491" s="726">
        <f t="shared" si="47"/>
        <v>47476.157727272723</v>
      </c>
      <c r="F491" s="726">
        <f t="shared" si="40"/>
        <v>4.5110937207937241E-10</v>
      </c>
      <c r="G491" s="673">
        <f t="shared" si="41"/>
        <v>23738.078863636812</v>
      </c>
      <c r="H491" s="721">
        <f>+J442*G491+E491</f>
        <v>51117.876662587747</v>
      </c>
      <c r="I491" s="727">
        <f>+J443*G491+E491</f>
        <v>51117.876662587747</v>
      </c>
      <c r="J491" s="724">
        <f t="shared" si="42"/>
        <v>0</v>
      </c>
      <c r="K491" s="724"/>
      <c r="L491" s="728"/>
      <c r="M491" s="724">
        <f t="shared" si="43"/>
        <v>0</v>
      </c>
      <c r="N491" s="728"/>
      <c r="O491" s="724">
        <f t="shared" si="44"/>
        <v>0</v>
      </c>
      <c r="P491" s="724">
        <f t="shared" si="45"/>
        <v>0</v>
      </c>
      <c r="Q491" s="674"/>
    </row>
    <row r="492" spans="2:17">
      <c r="B492" s="330"/>
      <c r="C492" s="720">
        <f>IF(D441="","-",+C491+1)</f>
        <v>2058</v>
      </c>
      <c r="D492" s="673">
        <f t="shared" si="46"/>
        <v>4.5110937207937241E-10</v>
      </c>
      <c r="E492" s="726">
        <f t="shared" si="47"/>
        <v>4.5110937207937241E-10</v>
      </c>
      <c r="F492" s="726">
        <f t="shared" si="40"/>
        <v>0</v>
      </c>
      <c r="G492" s="673">
        <f t="shared" si="41"/>
        <v>2.255546860396862E-10</v>
      </c>
      <c r="H492" s="721">
        <f>+J442*G492+E492</f>
        <v>4.857122890137345E-10</v>
      </c>
      <c r="I492" s="727">
        <f>+J443*G492+E492</f>
        <v>4.857122890137345E-10</v>
      </c>
      <c r="J492" s="724">
        <f t="shared" si="42"/>
        <v>0</v>
      </c>
      <c r="K492" s="724"/>
      <c r="L492" s="728"/>
      <c r="M492" s="724">
        <f t="shared" si="43"/>
        <v>0</v>
      </c>
      <c r="N492" s="728"/>
      <c r="O492" s="724">
        <f t="shared" si="44"/>
        <v>0</v>
      </c>
      <c r="P492" s="724">
        <f t="shared" si="45"/>
        <v>0</v>
      </c>
      <c r="Q492" s="674"/>
    </row>
    <row r="493" spans="2:17">
      <c r="B493" s="330"/>
      <c r="C493" s="720">
        <f>IF(D441="","-",+C492+1)</f>
        <v>2059</v>
      </c>
      <c r="D493" s="673">
        <f t="shared" si="46"/>
        <v>0</v>
      </c>
      <c r="E493" s="726">
        <f t="shared" si="47"/>
        <v>0</v>
      </c>
      <c r="F493" s="726">
        <f t="shared" si="40"/>
        <v>0</v>
      </c>
      <c r="G493" s="673">
        <f t="shared" si="41"/>
        <v>0</v>
      </c>
      <c r="H493" s="721">
        <f>+J442*G493+E493</f>
        <v>0</v>
      </c>
      <c r="I493" s="727">
        <f>+J443*G493+E493</f>
        <v>0</v>
      </c>
      <c r="J493" s="724">
        <f t="shared" si="42"/>
        <v>0</v>
      </c>
      <c r="K493" s="724"/>
      <c r="L493" s="728"/>
      <c r="M493" s="724">
        <f t="shared" si="43"/>
        <v>0</v>
      </c>
      <c r="N493" s="728"/>
      <c r="O493" s="724">
        <f t="shared" si="44"/>
        <v>0</v>
      </c>
      <c r="P493" s="724">
        <f t="shared" si="45"/>
        <v>0</v>
      </c>
      <c r="Q493" s="674"/>
    </row>
    <row r="494" spans="2:17">
      <c r="B494" s="330"/>
      <c r="C494" s="720">
        <f>IF(D441="","-",+C493+1)</f>
        <v>2060</v>
      </c>
      <c r="D494" s="673">
        <f t="shared" si="46"/>
        <v>0</v>
      </c>
      <c r="E494" s="726">
        <f t="shared" si="47"/>
        <v>0</v>
      </c>
      <c r="F494" s="726">
        <f t="shared" si="40"/>
        <v>0</v>
      </c>
      <c r="G494" s="673">
        <f t="shared" si="41"/>
        <v>0</v>
      </c>
      <c r="H494" s="721">
        <f>+J442*G494+E494</f>
        <v>0</v>
      </c>
      <c r="I494" s="727">
        <f>+J443*G494+E494</f>
        <v>0</v>
      </c>
      <c r="J494" s="724">
        <f t="shared" si="42"/>
        <v>0</v>
      </c>
      <c r="K494" s="724"/>
      <c r="L494" s="728"/>
      <c r="M494" s="724">
        <f t="shared" si="43"/>
        <v>0</v>
      </c>
      <c r="N494" s="728"/>
      <c r="O494" s="724">
        <f t="shared" si="44"/>
        <v>0</v>
      </c>
      <c r="P494" s="724">
        <f t="shared" si="45"/>
        <v>0</v>
      </c>
      <c r="Q494" s="674"/>
    </row>
    <row r="495" spans="2:17">
      <c r="B495" s="330"/>
      <c r="C495" s="720">
        <f>IF(D441="","-",+C494+1)</f>
        <v>2061</v>
      </c>
      <c r="D495" s="673">
        <f t="shared" si="46"/>
        <v>0</v>
      </c>
      <c r="E495" s="726">
        <f t="shared" si="47"/>
        <v>0</v>
      </c>
      <c r="F495" s="726">
        <f t="shared" si="40"/>
        <v>0</v>
      </c>
      <c r="G495" s="673">
        <f t="shared" si="41"/>
        <v>0</v>
      </c>
      <c r="H495" s="721">
        <f>+J442*G495+E495</f>
        <v>0</v>
      </c>
      <c r="I495" s="727">
        <f>+J443*G495+E495</f>
        <v>0</v>
      </c>
      <c r="J495" s="724">
        <f t="shared" si="42"/>
        <v>0</v>
      </c>
      <c r="K495" s="724"/>
      <c r="L495" s="728"/>
      <c r="M495" s="724">
        <f t="shared" si="43"/>
        <v>0</v>
      </c>
      <c r="N495" s="728"/>
      <c r="O495" s="724">
        <f t="shared" si="44"/>
        <v>0</v>
      </c>
      <c r="P495" s="724">
        <f t="shared" si="45"/>
        <v>0</v>
      </c>
      <c r="Q495" s="674"/>
    </row>
    <row r="496" spans="2:17">
      <c r="B496" s="330"/>
      <c r="C496" s="720">
        <f>IF(D441="","-",+C495+1)</f>
        <v>2062</v>
      </c>
      <c r="D496" s="673">
        <f t="shared" si="46"/>
        <v>0</v>
      </c>
      <c r="E496" s="726">
        <f t="shared" si="47"/>
        <v>0</v>
      </c>
      <c r="F496" s="726">
        <f t="shared" si="40"/>
        <v>0</v>
      </c>
      <c r="G496" s="673">
        <f t="shared" si="41"/>
        <v>0</v>
      </c>
      <c r="H496" s="721">
        <f>+J442*G496+E496</f>
        <v>0</v>
      </c>
      <c r="I496" s="727">
        <f>+J443*G496+E496</f>
        <v>0</v>
      </c>
      <c r="J496" s="724">
        <f t="shared" si="42"/>
        <v>0</v>
      </c>
      <c r="K496" s="724"/>
      <c r="L496" s="728"/>
      <c r="M496" s="724">
        <f t="shared" si="43"/>
        <v>0</v>
      </c>
      <c r="N496" s="728"/>
      <c r="O496" s="724">
        <f t="shared" si="44"/>
        <v>0</v>
      </c>
      <c r="P496" s="724">
        <f t="shared" si="45"/>
        <v>0</v>
      </c>
      <c r="Q496" s="674"/>
    </row>
    <row r="497" spans="2:17">
      <c r="B497" s="330"/>
      <c r="C497" s="720">
        <f>IF(D441="","-",+C496+1)</f>
        <v>2063</v>
      </c>
      <c r="D497" s="673">
        <f t="shared" si="46"/>
        <v>0</v>
      </c>
      <c r="E497" s="726">
        <f t="shared" si="47"/>
        <v>0</v>
      </c>
      <c r="F497" s="726">
        <f t="shared" si="40"/>
        <v>0</v>
      </c>
      <c r="G497" s="673">
        <f t="shared" si="41"/>
        <v>0</v>
      </c>
      <c r="H497" s="721">
        <f>+J442*G497+E497</f>
        <v>0</v>
      </c>
      <c r="I497" s="727">
        <f>+J443*G497+E497</f>
        <v>0</v>
      </c>
      <c r="J497" s="724">
        <f t="shared" si="42"/>
        <v>0</v>
      </c>
      <c r="K497" s="724"/>
      <c r="L497" s="728"/>
      <c r="M497" s="724">
        <f t="shared" si="43"/>
        <v>0</v>
      </c>
      <c r="N497" s="728"/>
      <c r="O497" s="724">
        <f t="shared" si="44"/>
        <v>0</v>
      </c>
      <c r="P497" s="724">
        <f t="shared" si="45"/>
        <v>0</v>
      </c>
      <c r="Q497" s="674"/>
    </row>
    <row r="498" spans="2:17">
      <c r="B498" s="330"/>
      <c r="C498" s="720">
        <f>IF(D441="","-",+C497+1)</f>
        <v>2064</v>
      </c>
      <c r="D498" s="673">
        <f t="shared" si="46"/>
        <v>0</v>
      </c>
      <c r="E498" s="726">
        <f t="shared" si="47"/>
        <v>0</v>
      </c>
      <c r="F498" s="726">
        <f t="shared" si="40"/>
        <v>0</v>
      </c>
      <c r="G498" s="673">
        <f t="shared" si="41"/>
        <v>0</v>
      </c>
      <c r="H498" s="721">
        <f>+J442*G498+E498</f>
        <v>0</v>
      </c>
      <c r="I498" s="727">
        <f>+J443*G498+E498</f>
        <v>0</v>
      </c>
      <c r="J498" s="724">
        <f t="shared" si="42"/>
        <v>0</v>
      </c>
      <c r="K498" s="724"/>
      <c r="L498" s="728"/>
      <c r="M498" s="724">
        <f t="shared" si="43"/>
        <v>0</v>
      </c>
      <c r="N498" s="728"/>
      <c r="O498" s="724">
        <f t="shared" si="44"/>
        <v>0</v>
      </c>
      <c r="P498" s="724">
        <f t="shared" si="45"/>
        <v>0</v>
      </c>
      <c r="Q498" s="674"/>
    </row>
    <row r="499" spans="2:17">
      <c r="B499" s="330"/>
      <c r="C499" s="720">
        <f>IF(D441="","-",+C498+1)</f>
        <v>2065</v>
      </c>
      <c r="D499" s="673">
        <f t="shared" si="46"/>
        <v>0</v>
      </c>
      <c r="E499" s="726">
        <f t="shared" si="47"/>
        <v>0</v>
      </c>
      <c r="F499" s="726">
        <f t="shared" si="40"/>
        <v>0</v>
      </c>
      <c r="G499" s="673">
        <f t="shared" si="41"/>
        <v>0</v>
      </c>
      <c r="H499" s="721">
        <f>+J442*G499+E499</f>
        <v>0</v>
      </c>
      <c r="I499" s="727">
        <f>+J443*G499+E499</f>
        <v>0</v>
      </c>
      <c r="J499" s="724">
        <f t="shared" si="42"/>
        <v>0</v>
      </c>
      <c r="K499" s="724"/>
      <c r="L499" s="728"/>
      <c r="M499" s="724">
        <f t="shared" si="43"/>
        <v>0</v>
      </c>
      <c r="N499" s="728"/>
      <c r="O499" s="724">
        <f t="shared" si="44"/>
        <v>0</v>
      </c>
      <c r="P499" s="724">
        <f t="shared" si="45"/>
        <v>0</v>
      </c>
      <c r="Q499" s="674"/>
    </row>
    <row r="500" spans="2:17">
      <c r="B500" s="330"/>
      <c r="C500" s="720">
        <f>IF(D441="","-",+C499+1)</f>
        <v>2066</v>
      </c>
      <c r="D500" s="673">
        <f t="shared" si="46"/>
        <v>0</v>
      </c>
      <c r="E500" s="726">
        <f t="shared" si="47"/>
        <v>0</v>
      </c>
      <c r="F500" s="726">
        <f t="shared" si="40"/>
        <v>0</v>
      </c>
      <c r="G500" s="673">
        <f t="shared" si="41"/>
        <v>0</v>
      </c>
      <c r="H500" s="721">
        <f>+J442*G500+E500</f>
        <v>0</v>
      </c>
      <c r="I500" s="727">
        <f>+J443*G500+E500</f>
        <v>0</v>
      </c>
      <c r="J500" s="724">
        <f t="shared" si="42"/>
        <v>0</v>
      </c>
      <c r="K500" s="724"/>
      <c r="L500" s="728"/>
      <c r="M500" s="724">
        <f t="shared" si="43"/>
        <v>0</v>
      </c>
      <c r="N500" s="728"/>
      <c r="O500" s="724">
        <f t="shared" si="44"/>
        <v>0</v>
      </c>
      <c r="P500" s="724">
        <f t="shared" si="45"/>
        <v>0</v>
      </c>
      <c r="Q500" s="674"/>
    </row>
    <row r="501" spans="2:17">
      <c r="B501" s="330"/>
      <c r="C501" s="720">
        <f>IF(D441="","-",+C500+1)</f>
        <v>2067</v>
      </c>
      <c r="D501" s="673">
        <f t="shared" si="46"/>
        <v>0</v>
      </c>
      <c r="E501" s="726">
        <f t="shared" si="47"/>
        <v>0</v>
      </c>
      <c r="F501" s="726">
        <f t="shared" si="40"/>
        <v>0</v>
      </c>
      <c r="G501" s="673">
        <f t="shared" si="41"/>
        <v>0</v>
      </c>
      <c r="H501" s="721">
        <f>+J442*G501+E501</f>
        <v>0</v>
      </c>
      <c r="I501" s="727">
        <f>+J443*G501+E501</f>
        <v>0</v>
      </c>
      <c r="J501" s="724">
        <f t="shared" si="42"/>
        <v>0</v>
      </c>
      <c r="K501" s="724"/>
      <c r="L501" s="728"/>
      <c r="M501" s="724">
        <f t="shared" si="43"/>
        <v>0</v>
      </c>
      <c r="N501" s="728"/>
      <c r="O501" s="724">
        <f t="shared" si="44"/>
        <v>0</v>
      </c>
      <c r="P501" s="724">
        <f t="shared" si="45"/>
        <v>0</v>
      </c>
      <c r="Q501" s="674"/>
    </row>
    <row r="502" spans="2:17">
      <c r="B502" s="330"/>
      <c r="C502" s="720">
        <f>IF(D441="","-",+C501+1)</f>
        <v>2068</v>
      </c>
      <c r="D502" s="673">
        <f t="shared" si="46"/>
        <v>0</v>
      </c>
      <c r="E502" s="726">
        <f t="shared" si="47"/>
        <v>0</v>
      </c>
      <c r="F502" s="726">
        <f t="shared" si="40"/>
        <v>0</v>
      </c>
      <c r="G502" s="673">
        <f t="shared" si="41"/>
        <v>0</v>
      </c>
      <c r="H502" s="721">
        <f>+J442*G502+E502</f>
        <v>0</v>
      </c>
      <c r="I502" s="727">
        <f>+J443*G502+E502</f>
        <v>0</v>
      </c>
      <c r="J502" s="724">
        <f t="shared" si="42"/>
        <v>0</v>
      </c>
      <c r="K502" s="724"/>
      <c r="L502" s="728"/>
      <c r="M502" s="724">
        <f t="shared" si="43"/>
        <v>0</v>
      </c>
      <c r="N502" s="728"/>
      <c r="O502" s="724">
        <f t="shared" si="44"/>
        <v>0</v>
      </c>
      <c r="P502" s="724">
        <f t="shared" si="45"/>
        <v>0</v>
      </c>
      <c r="Q502" s="674"/>
    </row>
    <row r="503" spans="2:17">
      <c r="B503" s="330"/>
      <c r="C503" s="720">
        <f>IF(D441="","-",+C502+1)</f>
        <v>2069</v>
      </c>
      <c r="D503" s="673">
        <f t="shared" si="46"/>
        <v>0</v>
      </c>
      <c r="E503" s="726">
        <f t="shared" si="47"/>
        <v>0</v>
      </c>
      <c r="F503" s="726">
        <f t="shared" si="40"/>
        <v>0</v>
      </c>
      <c r="G503" s="673">
        <f t="shared" si="41"/>
        <v>0</v>
      </c>
      <c r="H503" s="721">
        <f>+J442*G503+E503</f>
        <v>0</v>
      </c>
      <c r="I503" s="727">
        <f>+J443*G503+E503</f>
        <v>0</v>
      </c>
      <c r="J503" s="724">
        <f t="shared" si="42"/>
        <v>0</v>
      </c>
      <c r="K503" s="724"/>
      <c r="L503" s="728"/>
      <c r="M503" s="724">
        <f t="shared" si="43"/>
        <v>0</v>
      </c>
      <c r="N503" s="728"/>
      <c r="O503" s="724">
        <f t="shared" si="44"/>
        <v>0</v>
      </c>
      <c r="P503" s="724">
        <f t="shared" si="45"/>
        <v>0</v>
      </c>
      <c r="Q503" s="674"/>
    </row>
    <row r="504" spans="2:17">
      <c r="B504" s="330"/>
      <c r="C504" s="720">
        <f>IF(D441="","-",+C503+1)</f>
        <v>2070</v>
      </c>
      <c r="D504" s="673">
        <f t="shared" si="46"/>
        <v>0</v>
      </c>
      <c r="E504" s="726">
        <f t="shared" si="47"/>
        <v>0</v>
      </c>
      <c r="F504" s="726">
        <f t="shared" si="40"/>
        <v>0</v>
      </c>
      <c r="G504" s="673">
        <f t="shared" si="41"/>
        <v>0</v>
      </c>
      <c r="H504" s="721">
        <f>+J442*G504+E504</f>
        <v>0</v>
      </c>
      <c r="I504" s="727">
        <f>+J443*G504+E504</f>
        <v>0</v>
      </c>
      <c r="J504" s="724">
        <f t="shared" si="42"/>
        <v>0</v>
      </c>
      <c r="K504" s="724"/>
      <c r="L504" s="728"/>
      <c r="M504" s="724">
        <f t="shared" si="43"/>
        <v>0</v>
      </c>
      <c r="N504" s="728"/>
      <c r="O504" s="724">
        <f t="shared" si="44"/>
        <v>0</v>
      </c>
      <c r="P504" s="724">
        <f t="shared" si="45"/>
        <v>0</v>
      </c>
      <c r="Q504" s="674"/>
    </row>
    <row r="505" spans="2:17">
      <c r="B505" s="330"/>
      <c r="C505" s="720">
        <f>IF(D441="","-",+C504+1)</f>
        <v>2071</v>
      </c>
      <c r="D505" s="673">
        <f t="shared" si="46"/>
        <v>0</v>
      </c>
      <c r="E505" s="726">
        <f t="shared" si="47"/>
        <v>0</v>
      </c>
      <c r="F505" s="726">
        <f t="shared" si="40"/>
        <v>0</v>
      </c>
      <c r="G505" s="673">
        <f t="shared" si="41"/>
        <v>0</v>
      </c>
      <c r="H505" s="721">
        <f>+J442*G505+E505</f>
        <v>0</v>
      </c>
      <c r="I505" s="727">
        <f>+J443*G505+E505</f>
        <v>0</v>
      </c>
      <c r="J505" s="724">
        <f t="shared" si="42"/>
        <v>0</v>
      </c>
      <c r="K505" s="724"/>
      <c r="L505" s="728"/>
      <c r="M505" s="724">
        <f t="shared" si="43"/>
        <v>0</v>
      </c>
      <c r="N505" s="728"/>
      <c r="O505" s="724">
        <f t="shared" si="44"/>
        <v>0</v>
      </c>
      <c r="P505" s="724">
        <f t="shared" si="45"/>
        <v>0</v>
      </c>
      <c r="Q505" s="674"/>
    </row>
    <row r="506" spans="2:17" ht="13.5" thickBot="1">
      <c r="B506" s="330"/>
      <c r="C506" s="730">
        <f>IF(D441="","-",+C505+1)</f>
        <v>2072</v>
      </c>
      <c r="D506" s="731">
        <f t="shared" si="46"/>
        <v>0</v>
      </c>
      <c r="E506" s="1309">
        <f t="shared" si="47"/>
        <v>0</v>
      </c>
      <c r="F506" s="732">
        <f t="shared" si="40"/>
        <v>0</v>
      </c>
      <c r="G506" s="731">
        <f t="shared" si="41"/>
        <v>0</v>
      </c>
      <c r="H506" s="733">
        <f>+J442*G506+E506</f>
        <v>0</v>
      </c>
      <c r="I506" s="733">
        <f>+J443*G506+E506</f>
        <v>0</v>
      </c>
      <c r="J506" s="734">
        <f t="shared" si="42"/>
        <v>0</v>
      </c>
      <c r="K506" s="724"/>
      <c r="L506" s="735"/>
      <c r="M506" s="734">
        <f t="shared" si="43"/>
        <v>0</v>
      </c>
      <c r="N506" s="735"/>
      <c r="O506" s="734">
        <f t="shared" si="44"/>
        <v>0</v>
      </c>
      <c r="P506" s="734">
        <f t="shared" si="45"/>
        <v>0</v>
      </c>
      <c r="Q506" s="674"/>
    </row>
    <row r="507" spans="2:17">
      <c r="B507" s="330"/>
      <c r="C507" s="673" t="s">
        <v>288</v>
      </c>
      <c r="D507" s="669"/>
      <c r="E507" s="669">
        <f>SUM(E447:E506)</f>
        <v>2088950.9400000002</v>
      </c>
      <c r="F507" s="669"/>
      <c r="G507" s="669"/>
      <c r="H507" s="669">
        <f>SUM(H447:H506)</f>
        <v>9459790.0650774725</v>
      </c>
      <c r="I507" s="669">
        <f>SUM(I447:I506)</f>
        <v>9459790.0650774725</v>
      </c>
      <c r="J507" s="669">
        <f>SUM(J447:J506)</f>
        <v>0</v>
      </c>
      <c r="K507" s="669"/>
      <c r="L507" s="669"/>
      <c r="M507" s="669"/>
      <c r="N507" s="669"/>
      <c r="O507" s="669"/>
      <c r="Q507" s="669"/>
    </row>
    <row r="508" spans="2:17">
      <c r="B508" s="330"/>
      <c r="D508" s="563"/>
      <c r="E508" s="542"/>
      <c r="F508" s="542"/>
      <c r="G508" s="542"/>
      <c r="H508" s="542"/>
      <c r="I508" s="646"/>
      <c r="J508" s="646"/>
      <c r="K508" s="669"/>
      <c r="L508" s="646"/>
      <c r="M508" s="646"/>
      <c r="N508" s="646"/>
      <c r="O508" s="646"/>
      <c r="Q508" s="669"/>
    </row>
    <row r="509" spans="2:17">
      <c r="B509" s="330"/>
      <c r="C509" s="542" t="s">
        <v>595</v>
      </c>
      <c r="D509" s="563"/>
      <c r="E509" s="542"/>
      <c r="F509" s="542"/>
      <c r="G509" s="542"/>
      <c r="H509" s="542"/>
      <c r="I509" s="646"/>
      <c r="J509" s="646"/>
      <c r="K509" s="669"/>
      <c r="L509" s="646"/>
      <c r="M509" s="646"/>
      <c r="N509" s="646"/>
      <c r="O509" s="646"/>
      <c r="Q509" s="669"/>
    </row>
    <row r="510" spans="2:17">
      <c r="B510" s="330"/>
      <c r="D510" s="563"/>
      <c r="E510" s="542"/>
      <c r="F510" s="542"/>
      <c r="G510" s="542"/>
      <c r="H510" s="542"/>
      <c r="I510" s="646"/>
      <c r="J510" s="646"/>
      <c r="K510" s="669"/>
      <c r="L510" s="646"/>
      <c r="M510" s="646"/>
      <c r="N510" s="646"/>
      <c r="O510" s="646"/>
      <c r="Q510" s="669"/>
    </row>
    <row r="511" spans="2:17">
      <c r="B511" s="330"/>
      <c r="C511" s="576" t="s">
        <v>596</v>
      </c>
      <c r="D511" s="673"/>
      <c r="E511" s="673"/>
      <c r="F511" s="673"/>
      <c r="G511" s="673"/>
      <c r="H511" s="669"/>
      <c r="I511" s="669"/>
      <c r="J511" s="674"/>
      <c r="K511" s="674"/>
      <c r="L511" s="674"/>
      <c r="M511" s="674"/>
      <c r="N511" s="674"/>
      <c r="O511" s="674"/>
      <c r="Q511" s="674"/>
    </row>
    <row r="512" spans="2:17">
      <c r="B512" s="330"/>
      <c r="C512" s="576" t="s">
        <v>476</v>
      </c>
      <c r="D512" s="673"/>
      <c r="E512" s="673"/>
      <c r="F512" s="673"/>
      <c r="G512" s="673"/>
      <c r="H512" s="669"/>
      <c r="I512" s="669"/>
      <c r="J512" s="674"/>
      <c r="K512" s="674"/>
      <c r="L512" s="674"/>
      <c r="M512" s="674"/>
      <c r="N512" s="674"/>
      <c r="O512" s="674"/>
      <c r="Q512" s="674"/>
    </row>
    <row r="513" spans="1:17">
      <c r="B513" s="330"/>
      <c r="C513" s="576" t="s">
        <v>289</v>
      </c>
      <c r="D513" s="673"/>
      <c r="E513" s="673"/>
      <c r="F513" s="673"/>
      <c r="G513" s="673"/>
      <c r="H513" s="669"/>
      <c r="I513" s="669"/>
      <c r="J513" s="674"/>
      <c r="K513" s="674"/>
      <c r="L513" s="674"/>
      <c r="M513" s="674"/>
      <c r="N513" s="674"/>
      <c r="O513" s="674"/>
      <c r="Q513" s="674"/>
    </row>
    <row r="514" spans="1:17" ht="20.25">
      <c r="A514" s="675" t="s">
        <v>764</v>
      </c>
      <c r="B514" s="542"/>
      <c r="C514" s="655"/>
      <c r="D514" s="563"/>
      <c r="E514" s="542"/>
      <c r="F514" s="645"/>
      <c r="G514" s="645"/>
      <c r="H514" s="542"/>
      <c r="I514" s="646"/>
      <c r="L514" s="676"/>
      <c r="M514" s="676"/>
      <c r="N514" s="676"/>
      <c r="O514" s="591" t="str">
        <f>"Page "&amp;SUM(Q$3:Q514)&amp;" of "</f>
        <v xml:space="preserve">Page 7 of </v>
      </c>
      <c r="P514" s="592">
        <f>COUNT(Q$8:Q$58212)</f>
        <v>23</v>
      </c>
      <c r="Q514" s="756">
        <v>1</v>
      </c>
    </row>
    <row r="515" spans="1:17">
      <c r="B515" s="542"/>
      <c r="C515" s="542"/>
      <c r="D515" s="563"/>
      <c r="E515" s="542"/>
      <c r="F515" s="542"/>
      <c r="G515" s="542"/>
      <c r="H515" s="542"/>
      <c r="I515" s="646"/>
      <c r="J515" s="542"/>
      <c r="K515" s="588"/>
      <c r="Q515" s="588"/>
    </row>
    <row r="516" spans="1:17" ht="18">
      <c r="B516" s="595" t="s">
        <v>174</v>
      </c>
      <c r="C516" s="677" t="s">
        <v>290</v>
      </c>
      <c r="D516" s="563"/>
      <c r="E516" s="542"/>
      <c r="F516" s="542"/>
      <c r="G516" s="542"/>
      <c r="H516" s="542"/>
      <c r="I516" s="646"/>
      <c r="J516" s="646"/>
      <c r="K516" s="669"/>
      <c r="L516" s="646"/>
      <c r="M516" s="646"/>
      <c r="N516" s="646"/>
      <c r="O516" s="646"/>
      <c r="Q516" s="669"/>
    </row>
    <row r="517" spans="1:17" ht="18.75">
      <c r="B517" s="595"/>
      <c r="C517" s="594"/>
      <c r="D517" s="563"/>
      <c r="E517" s="542"/>
      <c r="F517" s="542"/>
      <c r="G517" s="542"/>
      <c r="H517" s="542"/>
      <c r="I517" s="646"/>
      <c r="J517" s="646"/>
      <c r="K517" s="669"/>
      <c r="L517" s="646"/>
      <c r="M517" s="646"/>
      <c r="N517" s="646"/>
      <c r="O517" s="646"/>
      <c r="Q517" s="669"/>
    </row>
    <row r="518" spans="1:17" ht="18.75">
      <c r="B518" s="595"/>
      <c r="C518" s="594" t="s">
        <v>291</v>
      </c>
      <c r="D518" s="563"/>
      <c r="E518" s="542"/>
      <c r="F518" s="542"/>
      <c r="G518" s="542"/>
      <c r="H518" s="542"/>
      <c r="I518" s="646"/>
      <c r="J518" s="646"/>
      <c r="K518" s="669"/>
      <c r="L518" s="646"/>
      <c r="M518" s="646"/>
      <c r="N518" s="646"/>
      <c r="O518" s="646"/>
      <c r="Q518" s="669"/>
    </row>
    <row r="519" spans="1:17" ht="15.75" thickBot="1">
      <c r="B519" s="330"/>
      <c r="C519" s="396"/>
      <c r="D519" s="563"/>
      <c r="E519" s="542"/>
      <c r="F519" s="542"/>
      <c r="G519" s="542"/>
      <c r="H519" s="542"/>
      <c r="I519" s="646"/>
      <c r="J519" s="646"/>
      <c r="K519" s="669"/>
      <c r="L519" s="646"/>
      <c r="M519" s="646"/>
      <c r="N519" s="646"/>
      <c r="O519" s="646"/>
      <c r="Q519" s="669"/>
    </row>
    <row r="520" spans="1:17" ht="15.75">
      <c r="B520" s="330"/>
      <c r="C520" s="596" t="s">
        <v>292</v>
      </c>
      <c r="D520" s="563"/>
      <c r="E520" s="542"/>
      <c r="F520" s="542"/>
      <c r="G520" s="542"/>
      <c r="H520" s="864"/>
      <c r="I520" s="542" t="s">
        <v>271</v>
      </c>
      <c r="J520" s="542"/>
      <c r="K520" s="588"/>
      <c r="L520" s="757">
        <f>+J526</f>
        <v>2021</v>
      </c>
      <c r="M520" s="739" t="s">
        <v>254</v>
      </c>
      <c r="N520" s="739" t="s">
        <v>255</v>
      </c>
      <c r="O520" s="740" t="s">
        <v>256</v>
      </c>
      <c r="Q520" s="588"/>
    </row>
    <row r="521" spans="1:17" ht="15.75">
      <c r="B521" s="330"/>
      <c r="C521" s="596"/>
      <c r="D521" s="563"/>
      <c r="E521" s="542"/>
      <c r="F521" s="542"/>
      <c r="H521" s="542"/>
      <c r="I521" s="681"/>
      <c r="J521" s="681"/>
      <c r="K521" s="682"/>
      <c r="L521" s="758" t="s">
        <v>455</v>
      </c>
      <c r="M521" s="759">
        <f>VLOOKUP(J526,C533:P592,10)</f>
        <v>824944.69961098279</v>
      </c>
      <c r="N521" s="759">
        <f>VLOOKUP(J526,C533:P592,12)</f>
        <v>824944.69961098279</v>
      </c>
      <c r="O521" s="760">
        <f>+N521-M521</f>
        <v>0</v>
      </c>
      <c r="Q521" s="682"/>
    </row>
    <row r="522" spans="1:17">
      <c r="B522" s="330"/>
      <c r="C522" s="684" t="s">
        <v>293</v>
      </c>
      <c r="D522" s="1711" t="s">
        <v>939</v>
      </c>
      <c r="E522" s="1711"/>
      <c r="F522" s="1711"/>
      <c r="G522" s="1711"/>
      <c r="H522" s="1711"/>
      <c r="I522" s="1711"/>
      <c r="J522" s="646"/>
      <c r="K522" s="669"/>
      <c r="L522" s="758" t="s">
        <v>456</v>
      </c>
      <c r="M522" s="761">
        <f>VLOOKUP(J526,C533:P592,6)</f>
        <v>874064.70032838313</v>
      </c>
      <c r="N522" s="761">
        <f>VLOOKUP(J526,C533:P592,7)</f>
        <v>874064.70032838313</v>
      </c>
      <c r="O522" s="762">
        <f>+N522-M522</f>
        <v>0</v>
      </c>
      <c r="Q522" s="669"/>
    </row>
    <row r="523" spans="1:17" ht="13.5" thickBot="1">
      <c r="B523" s="330"/>
      <c r="C523" s="686"/>
      <c r="D523" s="1711" t="s">
        <v>114</v>
      </c>
      <c r="E523" s="1711"/>
      <c r="F523" s="1711"/>
      <c r="G523" s="1711"/>
      <c r="H523" s="1711"/>
      <c r="I523" s="1711"/>
      <c r="J523" s="646"/>
      <c r="K523" s="669"/>
      <c r="L523" s="705" t="s">
        <v>457</v>
      </c>
      <c r="M523" s="763">
        <f>+M522-M521</f>
        <v>49120.00071740034</v>
      </c>
      <c r="N523" s="763">
        <f>+N522-N521</f>
        <v>49120.00071740034</v>
      </c>
      <c r="O523" s="764">
        <f>+O522-O521</f>
        <v>0</v>
      </c>
      <c r="Q523" s="669"/>
    </row>
    <row r="524" spans="1:17" ht="13.5" thickBot="1">
      <c r="B524" s="330"/>
      <c r="C524" s="689"/>
      <c r="D524" s="690"/>
      <c r="E524" s="688"/>
      <c r="F524" s="688"/>
      <c r="G524" s="688"/>
      <c r="H524" s="688"/>
      <c r="I524" s="688"/>
      <c r="J524" s="688"/>
      <c r="K524" s="691"/>
      <c r="L524" s="688"/>
      <c r="M524" s="688"/>
      <c r="N524" s="688"/>
      <c r="O524" s="688"/>
      <c r="P524" s="576"/>
      <c r="Q524" s="691"/>
    </row>
    <row r="525" spans="1:17" ht="13.5" thickBot="1">
      <c r="B525" s="330"/>
      <c r="C525" s="692" t="s">
        <v>294</v>
      </c>
      <c r="D525" s="693"/>
      <c r="E525" s="693"/>
      <c r="F525" s="693"/>
      <c r="G525" s="693"/>
      <c r="H525" s="693"/>
      <c r="I525" s="693"/>
      <c r="J525" s="693"/>
      <c r="K525" s="695"/>
      <c r="P525" s="696"/>
      <c r="Q525" s="695"/>
    </row>
    <row r="526" spans="1:17" ht="15">
      <c r="A526" s="1310"/>
      <c r="B526" s="330"/>
      <c r="C526" s="697" t="s">
        <v>272</v>
      </c>
      <c r="D526" s="1280">
        <v>5507426.1299999999</v>
      </c>
      <c r="E526" s="655" t="s">
        <v>273</v>
      </c>
      <c r="H526" s="698"/>
      <c r="I526" s="698"/>
      <c r="J526" s="1451">
        <f>$J$95</f>
        <v>2021</v>
      </c>
      <c r="K526" s="586"/>
      <c r="L526" s="1717" t="s">
        <v>274</v>
      </c>
      <c r="M526" s="1717"/>
      <c r="N526" s="1717"/>
      <c r="O526" s="1717"/>
      <c r="P526" s="588"/>
      <c r="Q526" s="586"/>
    </row>
    <row r="527" spans="1:17">
      <c r="A527" s="1310"/>
      <c r="B527" s="330"/>
      <c r="C527" s="697" t="s">
        <v>275</v>
      </c>
      <c r="D527" s="873">
        <v>2016</v>
      </c>
      <c r="E527" s="697" t="s">
        <v>276</v>
      </c>
      <c r="F527" s="698"/>
      <c r="G527" s="698"/>
      <c r="I527" s="330"/>
      <c r="J527" s="867">
        <v>0</v>
      </c>
      <c r="K527" s="700"/>
      <c r="L527" s="669" t="s">
        <v>475</v>
      </c>
      <c r="P527" s="588"/>
      <c r="Q527" s="700"/>
    </row>
    <row r="528" spans="1:17">
      <c r="A528" s="1310"/>
      <c r="B528" s="330"/>
      <c r="C528" s="697" t="s">
        <v>277</v>
      </c>
      <c r="D528" s="1280">
        <v>6</v>
      </c>
      <c r="E528" s="697" t="s">
        <v>278</v>
      </c>
      <c r="F528" s="698"/>
      <c r="G528" s="698"/>
      <c r="I528" s="330"/>
      <c r="J528" s="701">
        <f>$F$70</f>
        <v>0.15341253840442806</v>
      </c>
      <c r="K528" s="702"/>
      <c r="L528" s="542" t="str">
        <f>"          INPUT TRUE-UP ARR (WITH &amp; WITHOUT INCENTIVES) FROM EACH PRIOR YEAR"</f>
        <v xml:space="preserve">          INPUT TRUE-UP ARR (WITH &amp; WITHOUT INCENTIVES) FROM EACH PRIOR YEAR</v>
      </c>
      <c r="P528" s="588"/>
      <c r="Q528" s="702"/>
    </row>
    <row r="529" spans="1:17">
      <c r="A529" s="1310"/>
      <c r="B529" s="330"/>
      <c r="C529" s="697" t="s">
        <v>279</v>
      </c>
      <c r="D529" s="703">
        <f>H79</f>
        <v>44</v>
      </c>
      <c r="E529" s="697" t="s">
        <v>280</v>
      </c>
      <c r="F529" s="698"/>
      <c r="G529" s="698"/>
      <c r="I529" s="330"/>
      <c r="J529" s="701">
        <f>IF(H520="",J528,$F$69)</f>
        <v>0.15341253840442806</v>
      </c>
      <c r="K529" s="704"/>
      <c r="L529" s="542" t="s">
        <v>362</v>
      </c>
      <c r="M529" s="704"/>
      <c r="N529" s="704"/>
      <c r="O529" s="704"/>
      <c r="P529" s="588"/>
      <c r="Q529" s="704"/>
    </row>
    <row r="530" spans="1:17" ht="13.5" thickBot="1">
      <c r="A530" s="1310"/>
      <c r="B530" s="330"/>
      <c r="C530" s="697" t="s">
        <v>281</v>
      </c>
      <c r="D530" s="866" t="s">
        <v>933</v>
      </c>
      <c r="E530" s="705" t="s">
        <v>282</v>
      </c>
      <c r="F530" s="706"/>
      <c r="G530" s="706"/>
      <c r="H530" s="707"/>
      <c r="I530" s="707"/>
      <c r="J530" s="685">
        <f>IF(D526=0,0,D526/D529)</f>
        <v>125168.77568181818</v>
      </c>
      <c r="K530" s="669"/>
      <c r="L530" s="669" t="s">
        <v>363</v>
      </c>
      <c r="M530" s="669"/>
      <c r="N530" s="669"/>
      <c r="O530" s="669"/>
      <c r="P530" s="588"/>
      <c r="Q530" s="669"/>
    </row>
    <row r="531" spans="1:17" ht="38.25">
      <c r="A531" s="529"/>
      <c r="B531" s="529"/>
      <c r="C531" s="708" t="s">
        <v>272</v>
      </c>
      <c r="D531" s="709" t="s">
        <v>283</v>
      </c>
      <c r="E531" s="710" t="s">
        <v>284</v>
      </c>
      <c r="F531" s="709" t="s">
        <v>285</v>
      </c>
      <c r="G531" s="709" t="s">
        <v>458</v>
      </c>
      <c r="H531" s="710" t="s">
        <v>356</v>
      </c>
      <c r="I531" s="711" t="s">
        <v>356</v>
      </c>
      <c r="J531" s="708" t="s">
        <v>295</v>
      </c>
      <c r="K531" s="712"/>
      <c r="L531" s="710" t="s">
        <v>358</v>
      </c>
      <c r="M531" s="710" t="s">
        <v>364</v>
      </c>
      <c r="N531" s="710" t="s">
        <v>358</v>
      </c>
      <c r="O531" s="710" t="s">
        <v>366</v>
      </c>
      <c r="P531" s="710" t="s">
        <v>286</v>
      </c>
      <c r="Q531" s="713"/>
    </row>
    <row r="532" spans="1:17" ht="13.5" thickBot="1">
      <c r="B532" s="330"/>
      <c r="C532" s="714" t="s">
        <v>177</v>
      </c>
      <c r="D532" s="715" t="s">
        <v>178</v>
      </c>
      <c r="E532" s="714" t="s">
        <v>37</v>
      </c>
      <c r="F532" s="715" t="s">
        <v>178</v>
      </c>
      <c r="G532" s="715" t="s">
        <v>178</v>
      </c>
      <c r="H532" s="716" t="s">
        <v>298</v>
      </c>
      <c r="I532" s="717" t="s">
        <v>300</v>
      </c>
      <c r="J532" s="718" t="s">
        <v>389</v>
      </c>
      <c r="K532" s="719"/>
      <c r="L532" s="716" t="s">
        <v>287</v>
      </c>
      <c r="M532" s="716" t="s">
        <v>287</v>
      </c>
      <c r="N532" s="716" t="s">
        <v>467</v>
      </c>
      <c r="O532" s="716" t="s">
        <v>467</v>
      </c>
      <c r="P532" s="716" t="s">
        <v>467</v>
      </c>
      <c r="Q532" s="586"/>
    </row>
    <row r="533" spans="1:17">
      <c r="B533" s="330"/>
      <c r="C533" s="720">
        <f>IF(D527= "","-",D527)</f>
        <v>2016</v>
      </c>
      <c r="D533" s="673">
        <f>+D526</f>
        <v>5507426.1299999999</v>
      </c>
      <c r="E533" s="721">
        <f>+J530/12*(12-D528)</f>
        <v>62584.387840909083</v>
      </c>
      <c r="F533" s="765">
        <f t="shared" ref="F533:F592" si="48">+D533-E533</f>
        <v>5444841.7421590909</v>
      </c>
      <c r="G533" s="673">
        <f t="shared" ref="G533:G592" si="49">+(D533+F533)/2</f>
        <v>5476133.9360795449</v>
      </c>
      <c r="H533" s="722">
        <f>+J528*G533+E533</f>
        <v>902691.99561750412</v>
      </c>
      <c r="I533" s="723">
        <f>+J529*G533+E533</f>
        <v>902691.99561750412</v>
      </c>
      <c r="J533" s="724">
        <f t="shared" ref="J533:J592" si="50">+I533-H533</f>
        <v>0</v>
      </c>
      <c r="K533" s="724"/>
      <c r="L533" s="728">
        <v>42109</v>
      </c>
      <c r="M533" s="766">
        <f t="shared" ref="M533:M592" si="51">IF(L533&lt;&gt;0,+H533-L533,0)</f>
        <v>860582.99561750412</v>
      </c>
      <c r="N533" s="728">
        <v>42109</v>
      </c>
      <c r="O533" s="766">
        <f t="shared" ref="O533:O592" si="52">IF(N533&lt;&gt;0,+I533-N533,0)</f>
        <v>860582.99561750412</v>
      </c>
      <c r="P533" s="766">
        <f t="shared" ref="P533:P592" si="53">+O533-M533</f>
        <v>0</v>
      </c>
      <c r="Q533" s="674"/>
    </row>
    <row r="534" spans="1:17">
      <c r="B534" s="330"/>
      <c r="C534" s="720">
        <f>IF(D527="","-",+C533+1)</f>
        <v>2017</v>
      </c>
      <c r="D534" s="673">
        <f t="shared" ref="D534:D592" si="54">F533</f>
        <v>5444841.7421590909</v>
      </c>
      <c r="E534" s="726">
        <f>$J$530</f>
        <v>125168.77568181818</v>
      </c>
      <c r="F534" s="726">
        <f t="shared" si="48"/>
        <v>5319672.966477273</v>
      </c>
      <c r="G534" s="673">
        <f t="shared" si="49"/>
        <v>5382257.354318182</v>
      </c>
      <c r="H534" s="721">
        <f>+J528*G534+E534</f>
        <v>950874.53875367157</v>
      </c>
      <c r="I534" s="727">
        <f>+J529*G534+E534</f>
        <v>950874.53875367157</v>
      </c>
      <c r="J534" s="724">
        <f t="shared" si="50"/>
        <v>0</v>
      </c>
      <c r="K534" s="724"/>
      <c r="L534" s="728">
        <v>41186</v>
      </c>
      <c r="M534" s="724">
        <f t="shared" si="51"/>
        <v>909688.53875367157</v>
      </c>
      <c r="N534" s="728">
        <v>41186</v>
      </c>
      <c r="O534" s="724">
        <f t="shared" si="52"/>
        <v>909688.53875367157</v>
      </c>
      <c r="P534" s="724">
        <f t="shared" si="53"/>
        <v>0</v>
      </c>
      <c r="Q534" s="674"/>
    </row>
    <row r="535" spans="1:17">
      <c r="B535" s="330"/>
      <c r="C535" s="720">
        <f>IF(D527="","-",+C534+1)</f>
        <v>2018</v>
      </c>
      <c r="D535" s="1455">
        <f t="shared" si="54"/>
        <v>5319672.966477273</v>
      </c>
      <c r="E535" s="726">
        <f t="shared" ref="E535:E577" si="55">$J$530</f>
        <v>125168.77568181818</v>
      </c>
      <c r="F535" s="726">
        <f t="shared" si="48"/>
        <v>5194504.1907954551</v>
      </c>
      <c r="G535" s="673">
        <f t="shared" si="49"/>
        <v>5257088.5786363641</v>
      </c>
      <c r="H535" s="721">
        <f>+J528*G535+E535</f>
        <v>931672.07914734946</v>
      </c>
      <c r="I535" s="727">
        <f>+J529*G535+E535</f>
        <v>931672.07914734946</v>
      </c>
      <c r="J535" s="724">
        <f t="shared" si="50"/>
        <v>0</v>
      </c>
      <c r="K535" s="724"/>
      <c r="L535" s="728">
        <v>-7120</v>
      </c>
      <c r="M535" s="724">
        <f t="shared" si="51"/>
        <v>938792.07914734946</v>
      </c>
      <c r="N535" s="728">
        <v>-7120</v>
      </c>
      <c r="O535" s="724">
        <f t="shared" si="52"/>
        <v>938792.07914734946</v>
      </c>
      <c r="P535" s="724">
        <f t="shared" si="53"/>
        <v>0</v>
      </c>
      <c r="Q535" s="674"/>
    </row>
    <row r="536" spans="1:17">
      <c r="B536" s="330"/>
      <c r="C536" s="720">
        <f>IF(D527="","-",+C535+1)</f>
        <v>2019</v>
      </c>
      <c r="D536" s="673">
        <f t="shared" si="54"/>
        <v>5194504.1907954551</v>
      </c>
      <c r="E536" s="726">
        <f t="shared" si="55"/>
        <v>125168.77568181818</v>
      </c>
      <c r="F536" s="726">
        <f t="shared" si="48"/>
        <v>5069335.4151136372</v>
      </c>
      <c r="G536" s="673">
        <f t="shared" si="49"/>
        <v>5131919.8029545462</v>
      </c>
      <c r="H536" s="721">
        <f>+J528*G536+E536</f>
        <v>912469.61954102735</v>
      </c>
      <c r="I536" s="727">
        <f>+J529*G536+E536</f>
        <v>912469.61954102735</v>
      </c>
      <c r="J536" s="724">
        <f t="shared" si="50"/>
        <v>0</v>
      </c>
      <c r="K536" s="724"/>
      <c r="L536" s="1452">
        <v>25082</v>
      </c>
      <c r="M536" s="724">
        <f t="shared" si="51"/>
        <v>887387.61954102735</v>
      </c>
      <c r="N536" s="1452">
        <v>25082</v>
      </c>
      <c r="O536" s="724">
        <f t="shared" si="52"/>
        <v>887387.61954102735</v>
      </c>
      <c r="P536" s="724">
        <f t="shared" si="53"/>
        <v>0</v>
      </c>
      <c r="Q536" s="674"/>
    </row>
    <row r="537" spans="1:17">
      <c r="B537" s="330"/>
      <c r="C537" s="720">
        <f>IF(D527="","-",+C536+1)</f>
        <v>2020</v>
      </c>
      <c r="D537" s="673">
        <f t="shared" si="54"/>
        <v>5069335.4151136372</v>
      </c>
      <c r="E537" s="726">
        <f t="shared" si="55"/>
        <v>125168.77568181818</v>
      </c>
      <c r="F537" s="726">
        <f t="shared" si="48"/>
        <v>4944166.6394318193</v>
      </c>
      <c r="G537" s="673">
        <f t="shared" si="49"/>
        <v>5006751.0272727283</v>
      </c>
      <c r="H537" s="721">
        <f>+J528*G537+E537</f>
        <v>893267.15993470524</v>
      </c>
      <c r="I537" s="727">
        <f>+J529*G537+E537</f>
        <v>893267.15993470524</v>
      </c>
      <c r="J537" s="724">
        <f t="shared" si="50"/>
        <v>0</v>
      </c>
      <c r="K537" s="724"/>
      <c r="L537" s="728">
        <v>863947.67309387273</v>
      </c>
      <c r="M537" s="724">
        <f t="shared" si="51"/>
        <v>29319.486840832513</v>
      </c>
      <c r="N537" s="728">
        <v>863947.67309387273</v>
      </c>
      <c r="O537" s="724">
        <f t="shared" si="52"/>
        <v>29319.486840832513</v>
      </c>
      <c r="P537" s="724">
        <f t="shared" si="53"/>
        <v>0</v>
      </c>
      <c r="Q537" s="674"/>
    </row>
    <row r="538" spans="1:17">
      <c r="B538" s="330"/>
      <c r="C538" s="720">
        <f>IF(D527="","-",+C537+1)</f>
        <v>2021</v>
      </c>
      <c r="D538" s="1269">
        <f t="shared" si="54"/>
        <v>4944166.6394318193</v>
      </c>
      <c r="E538" s="726">
        <f t="shared" si="55"/>
        <v>125168.77568181818</v>
      </c>
      <c r="F538" s="726">
        <f t="shared" si="48"/>
        <v>4818997.8637500014</v>
      </c>
      <c r="G538" s="673">
        <f t="shared" si="49"/>
        <v>4881582.2515909104</v>
      </c>
      <c r="H538" s="721">
        <f>+J528*G538+E538</f>
        <v>874064.70032838313</v>
      </c>
      <c r="I538" s="727">
        <f>+J529*G538+E538</f>
        <v>874064.70032838313</v>
      </c>
      <c r="J538" s="724">
        <f t="shared" si="50"/>
        <v>0</v>
      </c>
      <c r="K538" s="724"/>
      <c r="L538" s="728">
        <v>824944.69961098279</v>
      </c>
      <c r="M538" s="724">
        <f t="shared" si="51"/>
        <v>49120.00071740034</v>
      </c>
      <c r="N538" s="1548">
        <v>824944.69961098279</v>
      </c>
      <c r="O538" s="724">
        <f t="shared" si="52"/>
        <v>49120.00071740034</v>
      </c>
      <c r="P538" s="724">
        <f t="shared" si="53"/>
        <v>0</v>
      </c>
      <c r="Q538" s="674"/>
    </row>
    <row r="539" spans="1:17">
      <c r="B539" s="330"/>
      <c r="C539" s="720">
        <f>IF(D527="","-",+C538+1)</f>
        <v>2022</v>
      </c>
      <c r="D539" s="1269">
        <f t="shared" si="54"/>
        <v>4818997.8637500014</v>
      </c>
      <c r="E539" s="726">
        <f t="shared" si="55"/>
        <v>125168.77568181818</v>
      </c>
      <c r="F539" s="726">
        <f t="shared" si="48"/>
        <v>4693829.0880681835</v>
      </c>
      <c r="G539" s="673">
        <f t="shared" si="49"/>
        <v>4756413.4759090925</v>
      </c>
      <c r="H539" s="721">
        <f>+J528*G539+E539</f>
        <v>854862.2407220609</v>
      </c>
      <c r="I539" s="727">
        <f>+J529*G539+E539</f>
        <v>854862.2407220609</v>
      </c>
      <c r="J539" s="724">
        <f t="shared" si="50"/>
        <v>0</v>
      </c>
      <c r="K539" s="724"/>
      <c r="L539" s="728">
        <v>0</v>
      </c>
      <c r="M539" s="724">
        <f t="shared" si="51"/>
        <v>0</v>
      </c>
      <c r="N539" s="728">
        <v>0</v>
      </c>
      <c r="O539" s="724">
        <f t="shared" si="52"/>
        <v>0</v>
      </c>
      <c r="P539" s="724">
        <f t="shared" si="53"/>
        <v>0</v>
      </c>
      <c r="Q539" s="674"/>
    </row>
    <row r="540" spans="1:17">
      <c r="B540" s="330"/>
      <c r="C540" s="720">
        <f>IF(D527="","-",+C539+1)</f>
        <v>2023</v>
      </c>
      <c r="D540" s="673">
        <f t="shared" si="54"/>
        <v>4693829.0880681835</v>
      </c>
      <c r="E540" s="726">
        <f t="shared" si="55"/>
        <v>125168.77568181818</v>
      </c>
      <c r="F540" s="726">
        <f t="shared" si="48"/>
        <v>4568660.3123863656</v>
      </c>
      <c r="G540" s="673">
        <f t="shared" si="49"/>
        <v>4631244.7002272746</v>
      </c>
      <c r="H540" s="721">
        <f>+J528*G540+E540</f>
        <v>835659.78111573879</v>
      </c>
      <c r="I540" s="727">
        <f>+J529*G540+E540</f>
        <v>835659.78111573879</v>
      </c>
      <c r="J540" s="724">
        <f t="shared" si="50"/>
        <v>0</v>
      </c>
      <c r="K540" s="724"/>
      <c r="L540" s="728">
        <v>0</v>
      </c>
      <c r="M540" s="724">
        <f t="shared" si="51"/>
        <v>0</v>
      </c>
      <c r="N540" s="728">
        <v>0</v>
      </c>
      <c r="O540" s="724">
        <f t="shared" si="52"/>
        <v>0</v>
      </c>
      <c r="P540" s="724">
        <f t="shared" si="53"/>
        <v>0</v>
      </c>
      <c r="Q540" s="674"/>
    </row>
    <row r="541" spans="1:17">
      <c r="B541" s="330"/>
      <c r="C541" s="720">
        <f>IF(D527="","-",+C540+1)</f>
        <v>2024</v>
      </c>
      <c r="D541" s="673">
        <f t="shared" si="54"/>
        <v>4568660.3123863656</v>
      </c>
      <c r="E541" s="726">
        <f t="shared" si="55"/>
        <v>125168.77568181818</v>
      </c>
      <c r="F541" s="726">
        <f t="shared" si="48"/>
        <v>4443491.5367045477</v>
      </c>
      <c r="G541" s="673">
        <f t="shared" si="49"/>
        <v>4506075.9245454567</v>
      </c>
      <c r="H541" s="721">
        <f>+J528*G541+E541</f>
        <v>816457.32150941668</v>
      </c>
      <c r="I541" s="727">
        <f>+J529*G541+E541</f>
        <v>816457.32150941668</v>
      </c>
      <c r="J541" s="724">
        <f t="shared" si="50"/>
        <v>0</v>
      </c>
      <c r="K541" s="724"/>
      <c r="L541" s="728">
        <v>0</v>
      </c>
      <c r="M541" s="724">
        <f t="shared" si="51"/>
        <v>0</v>
      </c>
      <c r="N541" s="728">
        <v>0</v>
      </c>
      <c r="O541" s="724">
        <f t="shared" si="52"/>
        <v>0</v>
      </c>
      <c r="P541" s="724">
        <f t="shared" si="53"/>
        <v>0</v>
      </c>
      <c r="Q541" s="674"/>
    </row>
    <row r="542" spans="1:17">
      <c r="B542" s="330"/>
      <c r="C542" s="1291">
        <f>IF(D527="","-",+C541+1)</f>
        <v>2025</v>
      </c>
      <c r="D542" s="673">
        <f t="shared" si="54"/>
        <v>4443491.5367045477</v>
      </c>
      <c r="E542" s="726">
        <f t="shared" si="55"/>
        <v>125168.77568181818</v>
      </c>
      <c r="F542" s="726">
        <f t="shared" si="48"/>
        <v>4318322.7610227298</v>
      </c>
      <c r="G542" s="673">
        <f t="shared" si="49"/>
        <v>4380907.1488636388</v>
      </c>
      <c r="H542" s="721">
        <f>+J528*G542+E542</f>
        <v>797254.86190309457</v>
      </c>
      <c r="I542" s="727">
        <f>+J529*G542+E542</f>
        <v>797254.86190309457</v>
      </c>
      <c r="J542" s="724">
        <f t="shared" si="50"/>
        <v>0</v>
      </c>
      <c r="K542" s="724"/>
      <c r="L542" s="728">
        <v>0</v>
      </c>
      <c r="M542" s="724">
        <f t="shared" si="51"/>
        <v>0</v>
      </c>
      <c r="N542" s="728">
        <v>0</v>
      </c>
      <c r="O542" s="724">
        <f t="shared" si="52"/>
        <v>0</v>
      </c>
      <c r="P542" s="724">
        <f t="shared" si="53"/>
        <v>0</v>
      </c>
      <c r="Q542" s="674"/>
    </row>
    <row r="543" spans="1:17">
      <c r="B543" s="330"/>
      <c r="C543" s="720">
        <f>IF(D527="","-",+C542+1)</f>
        <v>2026</v>
      </c>
      <c r="D543" s="673">
        <f t="shared" si="54"/>
        <v>4318322.7610227298</v>
      </c>
      <c r="E543" s="726">
        <f t="shared" si="55"/>
        <v>125168.77568181818</v>
      </c>
      <c r="F543" s="726">
        <f t="shared" si="48"/>
        <v>4193153.9853409114</v>
      </c>
      <c r="G543" s="673">
        <f t="shared" si="49"/>
        <v>4255738.3731818208</v>
      </c>
      <c r="H543" s="721">
        <f>+J528*G543+E543</f>
        <v>778052.40229677246</v>
      </c>
      <c r="I543" s="727">
        <f>+J529*G543+E543</f>
        <v>778052.40229677246</v>
      </c>
      <c r="J543" s="724">
        <f t="shared" si="50"/>
        <v>0</v>
      </c>
      <c r="K543" s="724"/>
      <c r="L543" s="728"/>
      <c r="M543" s="724">
        <f t="shared" si="51"/>
        <v>0</v>
      </c>
      <c r="N543" s="728"/>
      <c r="O543" s="724">
        <f t="shared" si="52"/>
        <v>0</v>
      </c>
      <c r="P543" s="724">
        <f t="shared" si="53"/>
        <v>0</v>
      </c>
      <c r="Q543" s="674"/>
    </row>
    <row r="544" spans="1:17">
      <c r="B544" s="330"/>
      <c r="C544" s="720">
        <f>IF(D527="","-",+C543+1)</f>
        <v>2027</v>
      </c>
      <c r="D544" s="673">
        <f t="shared" si="54"/>
        <v>4193153.9853409114</v>
      </c>
      <c r="E544" s="726">
        <f t="shared" si="55"/>
        <v>125168.77568181818</v>
      </c>
      <c r="F544" s="726">
        <f t="shared" si="48"/>
        <v>4067985.2096590931</v>
      </c>
      <c r="G544" s="673">
        <f t="shared" si="49"/>
        <v>4130569.597500002</v>
      </c>
      <c r="H544" s="721">
        <f>+J528*G544+E544</f>
        <v>758849.94269045012</v>
      </c>
      <c r="I544" s="727">
        <f>+J529*G544+E544</f>
        <v>758849.94269045012</v>
      </c>
      <c r="J544" s="724">
        <f t="shared" si="50"/>
        <v>0</v>
      </c>
      <c r="K544" s="724"/>
      <c r="L544" s="728"/>
      <c r="M544" s="724">
        <f t="shared" si="51"/>
        <v>0</v>
      </c>
      <c r="N544" s="728"/>
      <c r="O544" s="724">
        <f t="shared" si="52"/>
        <v>0</v>
      </c>
      <c r="P544" s="724">
        <f t="shared" si="53"/>
        <v>0</v>
      </c>
      <c r="Q544" s="674"/>
    </row>
    <row r="545" spans="2:17">
      <c r="B545" s="330"/>
      <c r="C545" s="720">
        <f>IF(D527="","-",+C544+1)</f>
        <v>2028</v>
      </c>
      <c r="D545" s="673">
        <f t="shared" si="54"/>
        <v>4067985.2096590931</v>
      </c>
      <c r="E545" s="726">
        <f t="shared" si="55"/>
        <v>125168.77568181818</v>
      </c>
      <c r="F545" s="726">
        <f t="shared" si="48"/>
        <v>3942816.4339772747</v>
      </c>
      <c r="G545" s="673">
        <f t="shared" si="49"/>
        <v>4005400.8218181841</v>
      </c>
      <c r="H545" s="721">
        <f>+J528*G545+E545</f>
        <v>739647.48308412801</v>
      </c>
      <c r="I545" s="727">
        <f>+J529*G545+E545</f>
        <v>739647.48308412801</v>
      </c>
      <c r="J545" s="724">
        <f t="shared" si="50"/>
        <v>0</v>
      </c>
      <c r="K545" s="724"/>
      <c r="L545" s="728"/>
      <c r="M545" s="724">
        <f t="shared" si="51"/>
        <v>0</v>
      </c>
      <c r="N545" s="728"/>
      <c r="O545" s="724">
        <f t="shared" si="52"/>
        <v>0</v>
      </c>
      <c r="P545" s="724">
        <f t="shared" si="53"/>
        <v>0</v>
      </c>
      <c r="Q545" s="674"/>
    </row>
    <row r="546" spans="2:17">
      <c r="B546" s="330"/>
      <c r="C546" s="720">
        <f>IF(D527="","-",+C545+1)</f>
        <v>2029</v>
      </c>
      <c r="D546" s="673">
        <f t="shared" si="54"/>
        <v>3942816.4339772747</v>
      </c>
      <c r="E546" s="726">
        <f t="shared" si="55"/>
        <v>125168.77568181818</v>
      </c>
      <c r="F546" s="726">
        <f t="shared" si="48"/>
        <v>3817647.6582954563</v>
      </c>
      <c r="G546" s="673">
        <f t="shared" si="49"/>
        <v>3880232.0461363653</v>
      </c>
      <c r="H546" s="721">
        <f>+J528*G546+E546</f>
        <v>720445.02347780578</v>
      </c>
      <c r="I546" s="727">
        <f>+J529*G546+E546</f>
        <v>720445.02347780578</v>
      </c>
      <c r="J546" s="724">
        <f t="shared" si="50"/>
        <v>0</v>
      </c>
      <c r="K546" s="724"/>
      <c r="L546" s="728"/>
      <c r="M546" s="724">
        <f t="shared" si="51"/>
        <v>0</v>
      </c>
      <c r="N546" s="728"/>
      <c r="O546" s="724">
        <f t="shared" si="52"/>
        <v>0</v>
      </c>
      <c r="P546" s="724">
        <f t="shared" si="53"/>
        <v>0</v>
      </c>
      <c r="Q546" s="674"/>
    </row>
    <row r="547" spans="2:17">
      <c r="B547" s="330"/>
      <c r="C547" s="720">
        <f>IF(D527="","-",+C546+1)</f>
        <v>2030</v>
      </c>
      <c r="D547" s="673">
        <f t="shared" si="54"/>
        <v>3817647.6582954563</v>
      </c>
      <c r="E547" s="726">
        <f t="shared" si="55"/>
        <v>125168.77568181818</v>
      </c>
      <c r="F547" s="726">
        <f t="shared" si="48"/>
        <v>3692478.882613638</v>
      </c>
      <c r="G547" s="673">
        <f t="shared" si="49"/>
        <v>3755063.2704545474</v>
      </c>
      <c r="H547" s="721">
        <f>+J528*G547+E547</f>
        <v>701242.56387148367</v>
      </c>
      <c r="I547" s="727">
        <f>+J529*G547+E547</f>
        <v>701242.56387148367</v>
      </c>
      <c r="J547" s="724">
        <f t="shared" si="50"/>
        <v>0</v>
      </c>
      <c r="K547" s="724"/>
      <c r="L547" s="728"/>
      <c r="M547" s="724">
        <f t="shared" si="51"/>
        <v>0</v>
      </c>
      <c r="N547" s="728"/>
      <c r="O547" s="724">
        <f t="shared" si="52"/>
        <v>0</v>
      </c>
      <c r="P547" s="724">
        <f t="shared" si="53"/>
        <v>0</v>
      </c>
      <c r="Q547" s="674"/>
    </row>
    <row r="548" spans="2:17">
      <c r="B548" s="330"/>
      <c r="C548" s="720">
        <f>IF(D527="","-",+C547+1)</f>
        <v>2031</v>
      </c>
      <c r="D548" s="673">
        <f t="shared" si="54"/>
        <v>3692478.882613638</v>
      </c>
      <c r="E548" s="726">
        <f t="shared" si="55"/>
        <v>125168.77568181818</v>
      </c>
      <c r="F548" s="726">
        <f t="shared" si="48"/>
        <v>3567310.1069318196</v>
      </c>
      <c r="G548" s="673">
        <f t="shared" si="49"/>
        <v>3629894.4947727285</v>
      </c>
      <c r="H548" s="721">
        <f>+J528*G548+E548</f>
        <v>682040.10426516132</v>
      </c>
      <c r="I548" s="727">
        <f>+J529*G548+E548</f>
        <v>682040.10426516132</v>
      </c>
      <c r="J548" s="724">
        <f t="shared" si="50"/>
        <v>0</v>
      </c>
      <c r="K548" s="724"/>
      <c r="L548" s="728"/>
      <c r="M548" s="724">
        <f t="shared" si="51"/>
        <v>0</v>
      </c>
      <c r="N548" s="728"/>
      <c r="O548" s="724">
        <f t="shared" si="52"/>
        <v>0</v>
      </c>
      <c r="P548" s="724">
        <f t="shared" si="53"/>
        <v>0</v>
      </c>
      <c r="Q548" s="674"/>
    </row>
    <row r="549" spans="2:17">
      <c r="B549" s="330"/>
      <c r="C549" s="720">
        <f>IF(D527="","-",+C548+1)</f>
        <v>2032</v>
      </c>
      <c r="D549" s="673">
        <f t="shared" si="54"/>
        <v>3567310.1069318196</v>
      </c>
      <c r="E549" s="726">
        <f t="shared" si="55"/>
        <v>125168.77568181818</v>
      </c>
      <c r="F549" s="726">
        <f t="shared" si="48"/>
        <v>3442141.3312500012</v>
      </c>
      <c r="G549" s="673">
        <f t="shared" si="49"/>
        <v>3504725.7190909106</v>
      </c>
      <c r="H549" s="721">
        <f>+J528*G549+E549</f>
        <v>662837.64465883921</v>
      </c>
      <c r="I549" s="727">
        <f>+J529*G549+E549</f>
        <v>662837.64465883921</v>
      </c>
      <c r="J549" s="724">
        <f t="shared" si="50"/>
        <v>0</v>
      </c>
      <c r="K549" s="724"/>
      <c r="L549" s="728"/>
      <c r="M549" s="724">
        <f t="shared" si="51"/>
        <v>0</v>
      </c>
      <c r="N549" s="728"/>
      <c r="O549" s="724">
        <f t="shared" si="52"/>
        <v>0</v>
      </c>
      <c r="P549" s="724">
        <f t="shared" si="53"/>
        <v>0</v>
      </c>
      <c r="Q549" s="674"/>
    </row>
    <row r="550" spans="2:17">
      <c r="B550" s="330"/>
      <c r="C550" s="720">
        <f>IF(D527="","-",+C549+1)</f>
        <v>2033</v>
      </c>
      <c r="D550" s="673">
        <f t="shared" si="54"/>
        <v>3442141.3312500012</v>
      </c>
      <c r="E550" s="726">
        <f t="shared" si="55"/>
        <v>125168.77568181818</v>
      </c>
      <c r="F550" s="726">
        <f t="shared" si="48"/>
        <v>3316972.5555681828</v>
      </c>
      <c r="G550" s="673">
        <f t="shared" si="49"/>
        <v>3379556.9434090918</v>
      </c>
      <c r="H550" s="721">
        <f>+J528*G550+E550</f>
        <v>643635.18505251699</v>
      </c>
      <c r="I550" s="727">
        <f>+J529*G550+E550</f>
        <v>643635.18505251699</v>
      </c>
      <c r="J550" s="724">
        <f t="shared" si="50"/>
        <v>0</v>
      </c>
      <c r="K550" s="724"/>
      <c r="L550" s="728"/>
      <c r="M550" s="724">
        <f t="shared" si="51"/>
        <v>0</v>
      </c>
      <c r="N550" s="728"/>
      <c r="O550" s="724">
        <f t="shared" si="52"/>
        <v>0</v>
      </c>
      <c r="P550" s="724">
        <f t="shared" si="53"/>
        <v>0</v>
      </c>
      <c r="Q550" s="674"/>
    </row>
    <row r="551" spans="2:17">
      <c r="B551" s="330"/>
      <c r="C551" s="720">
        <f>IF(D527="","-",+C550+1)</f>
        <v>2034</v>
      </c>
      <c r="D551" s="673">
        <f t="shared" si="54"/>
        <v>3316972.5555681828</v>
      </c>
      <c r="E551" s="726">
        <f t="shared" si="55"/>
        <v>125168.77568181818</v>
      </c>
      <c r="F551" s="726">
        <f t="shared" si="48"/>
        <v>3191803.7798863645</v>
      </c>
      <c r="G551" s="673">
        <f t="shared" si="49"/>
        <v>3254388.1677272739</v>
      </c>
      <c r="H551" s="721">
        <f>+J528*G551+E551</f>
        <v>624432.72544619488</v>
      </c>
      <c r="I551" s="727">
        <f>+J529*G551+E551</f>
        <v>624432.72544619488</v>
      </c>
      <c r="J551" s="724">
        <f t="shared" si="50"/>
        <v>0</v>
      </c>
      <c r="K551" s="724"/>
      <c r="L551" s="728"/>
      <c r="M551" s="724">
        <f t="shared" si="51"/>
        <v>0</v>
      </c>
      <c r="N551" s="728"/>
      <c r="O551" s="724">
        <f t="shared" si="52"/>
        <v>0</v>
      </c>
      <c r="P551" s="724">
        <f t="shared" si="53"/>
        <v>0</v>
      </c>
      <c r="Q551" s="674"/>
    </row>
    <row r="552" spans="2:17">
      <c r="B552" s="330"/>
      <c r="C552" s="720">
        <f>IF(D527="","-",+C551+1)</f>
        <v>2035</v>
      </c>
      <c r="D552" s="673">
        <f t="shared" si="54"/>
        <v>3191803.7798863645</v>
      </c>
      <c r="E552" s="726">
        <f t="shared" si="55"/>
        <v>125168.77568181818</v>
      </c>
      <c r="F552" s="726">
        <f t="shared" si="48"/>
        <v>3066635.0042045461</v>
      </c>
      <c r="G552" s="673">
        <f t="shared" si="49"/>
        <v>3129219.3920454551</v>
      </c>
      <c r="H552" s="721">
        <f>+J528*G552+E552</f>
        <v>605230.26583987253</v>
      </c>
      <c r="I552" s="727">
        <f>+J529*G552+E552</f>
        <v>605230.26583987253</v>
      </c>
      <c r="J552" s="724">
        <f t="shared" si="50"/>
        <v>0</v>
      </c>
      <c r="K552" s="724"/>
      <c r="L552" s="728"/>
      <c r="M552" s="724">
        <f t="shared" si="51"/>
        <v>0</v>
      </c>
      <c r="N552" s="728"/>
      <c r="O552" s="724">
        <f t="shared" si="52"/>
        <v>0</v>
      </c>
      <c r="P552" s="724">
        <f t="shared" si="53"/>
        <v>0</v>
      </c>
      <c r="Q552" s="674"/>
    </row>
    <row r="553" spans="2:17">
      <c r="B553" s="330"/>
      <c r="C553" s="720">
        <f>IF(D527="","-",+C552+1)</f>
        <v>2036</v>
      </c>
      <c r="D553" s="673">
        <f t="shared" si="54"/>
        <v>3066635.0042045461</v>
      </c>
      <c r="E553" s="726">
        <f t="shared" si="55"/>
        <v>125168.77568181818</v>
      </c>
      <c r="F553" s="726">
        <f t="shared" si="48"/>
        <v>2941466.2285227277</v>
      </c>
      <c r="G553" s="673">
        <f t="shared" si="49"/>
        <v>3004050.6163636371</v>
      </c>
      <c r="H553" s="721">
        <f>+J528*G553+E553</f>
        <v>586027.80623355042</v>
      </c>
      <c r="I553" s="727">
        <f>+J529*G553+E553</f>
        <v>586027.80623355042</v>
      </c>
      <c r="J553" s="724">
        <f t="shared" si="50"/>
        <v>0</v>
      </c>
      <c r="K553" s="724"/>
      <c r="L553" s="728"/>
      <c r="M553" s="724">
        <f t="shared" si="51"/>
        <v>0</v>
      </c>
      <c r="N553" s="728"/>
      <c r="O553" s="724">
        <f t="shared" si="52"/>
        <v>0</v>
      </c>
      <c r="P553" s="724">
        <f t="shared" si="53"/>
        <v>0</v>
      </c>
      <c r="Q553" s="674"/>
    </row>
    <row r="554" spans="2:17">
      <c r="B554" s="330"/>
      <c r="C554" s="720">
        <f>IF(D527="","-",+C553+1)</f>
        <v>2037</v>
      </c>
      <c r="D554" s="673">
        <f t="shared" si="54"/>
        <v>2941466.2285227277</v>
      </c>
      <c r="E554" s="726">
        <f t="shared" si="55"/>
        <v>125168.77568181818</v>
      </c>
      <c r="F554" s="726">
        <f t="shared" si="48"/>
        <v>2816297.4528409094</v>
      </c>
      <c r="G554" s="673">
        <f t="shared" si="49"/>
        <v>2878881.8406818183</v>
      </c>
      <c r="H554" s="721">
        <f>+J528*G554+E554</f>
        <v>566825.34662722819</v>
      </c>
      <c r="I554" s="727">
        <f>+J529*G554+E554</f>
        <v>566825.34662722819</v>
      </c>
      <c r="J554" s="724">
        <f t="shared" si="50"/>
        <v>0</v>
      </c>
      <c r="K554" s="724"/>
      <c r="L554" s="728"/>
      <c r="M554" s="724">
        <f t="shared" si="51"/>
        <v>0</v>
      </c>
      <c r="N554" s="728"/>
      <c r="O554" s="724">
        <f t="shared" si="52"/>
        <v>0</v>
      </c>
      <c r="P554" s="724">
        <f t="shared" si="53"/>
        <v>0</v>
      </c>
      <c r="Q554" s="674"/>
    </row>
    <row r="555" spans="2:17">
      <c r="B555" s="330"/>
      <c r="C555" s="720">
        <f>IF(D527="","-",+C554+1)</f>
        <v>2038</v>
      </c>
      <c r="D555" s="673">
        <f t="shared" si="54"/>
        <v>2816297.4528409094</v>
      </c>
      <c r="E555" s="726">
        <f t="shared" si="55"/>
        <v>125168.77568181818</v>
      </c>
      <c r="F555" s="726">
        <f t="shared" si="48"/>
        <v>2691128.677159091</v>
      </c>
      <c r="G555" s="673">
        <f t="shared" si="49"/>
        <v>2753713.0650000004</v>
      </c>
      <c r="H555" s="721">
        <f>+J528*G555+E555</f>
        <v>547622.88702090608</v>
      </c>
      <c r="I555" s="727">
        <f>+J529*G555+E555</f>
        <v>547622.88702090608</v>
      </c>
      <c r="J555" s="724">
        <f t="shared" si="50"/>
        <v>0</v>
      </c>
      <c r="K555" s="724"/>
      <c r="L555" s="728"/>
      <c r="M555" s="724">
        <f t="shared" si="51"/>
        <v>0</v>
      </c>
      <c r="N555" s="728"/>
      <c r="O555" s="724">
        <f t="shared" si="52"/>
        <v>0</v>
      </c>
      <c r="P555" s="724">
        <f t="shared" si="53"/>
        <v>0</v>
      </c>
      <c r="Q555" s="674"/>
    </row>
    <row r="556" spans="2:17">
      <c r="B556" s="330"/>
      <c r="C556" s="720">
        <f>IF(D527="","-",+C555+1)</f>
        <v>2039</v>
      </c>
      <c r="D556" s="673">
        <f t="shared" si="54"/>
        <v>2691128.677159091</v>
      </c>
      <c r="E556" s="726">
        <f t="shared" si="55"/>
        <v>125168.77568181818</v>
      </c>
      <c r="F556" s="726">
        <f t="shared" si="48"/>
        <v>2565959.9014772726</v>
      </c>
      <c r="G556" s="673">
        <f t="shared" si="49"/>
        <v>2628544.2893181816</v>
      </c>
      <c r="H556" s="721">
        <f>+J528*G556+E556</f>
        <v>528420.42741458374</v>
      </c>
      <c r="I556" s="727">
        <f>+J529*G556+E556</f>
        <v>528420.42741458374</v>
      </c>
      <c r="J556" s="724">
        <f t="shared" si="50"/>
        <v>0</v>
      </c>
      <c r="K556" s="724"/>
      <c r="L556" s="728"/>
      <c r="M556" s="724">
        <f t="shared" si="51"/>
        <v>0</v>
      </c>
      <c r="N556" s="728"/>
      <c r="O556" s="724">
        <f t="shared" si="52"/>
        <v>0</v>
      </c>
      <c r="P556" s="724">
        <f t="shared" si="53"/>
        <v>0</v>
      </c>
      <c r="Q556" s="674"/>
    </row>
    <row r="557" spans="2:17">
      <c r="B557" s="330"/>
      <c r="C557" s="720">
        <f>IF(D527="","-",+C556+1)</f>
        <v>2040</v>
      </c>
      <c r="D557" s="673">
        <f t="shared" si="54"/>
        <v>2565959.9014772726</v>
      </c>
      <c r="E557" s="726">
        <f t="shared" si="55"/>
        <v>125168.77568181818</v>
      </c>
      <c r="F557" s="726">
        <f t="shared" si="48"/>
        <v>2440791.1257954543</v>
      </c>
      <c r="G557" s="673">
        <f t="shared" si="49"/>
        <v>2503375.5136363637</v>
      </c>
      <c r="H557" s="721">
        <f>+J528*G557+E557</f>
        <v>509217.96780826169</v>
      </c>
      <c r="I557" s="727">
        <f>+J529*G557+E557</f>
        <v>509217.96780826169</v>
      </c>
      <c r="J557" s="724">
        <f t="shared" si="50"/>
        <v>0</v>
      </c>
      <c r="K557" s="724"/>
      <c r="L557" s="728"/>
      <c r="M557" s="724">
        <f t="shared" si="51"/>
        <v>0</v>
      </c>
      <c r="N557" s="728"/>
      <c r="O557" s="724">
        <f t="shared" si="52"/>
        <v>0</v>
      </c>
      <c r="P557" s="724">
        <f t="shared" si="53"/>
        <v>0</v>
      </c>
      <c r="Q557" s="674"/>
    </row>
    <row r="558" spans="2:17">
      <c r="B558" s="330"/>
      <c r="C558" s="720">
        <f>IF(D527="","-",+C557+1)</f>
        <v>2041</v>
      </c>
      <c r="D558" s="673">
        <f t="shared" si="54"/>
        <v>2440791.1257954543</v>
      </c>
      <c r="E558" s="726">
        <f t="shared" si="55"/>
        <v>125168.77568181818</v>
      </c>
      <c r="F558" s="726">
        <f t="shared" si="48"/>
        <v>2315622.3501136359</v>
      </c>
      <c r="G558" s="673">
        <f t="shared" si="49"/>
        <v>2378206.7379545448</v>
      </c>
      <c r="H558" s="721">
        <f>+J528*G558+E558</f>
        <v>490015.5082019394</v>
      </c>
      <c r="I558" s="727">
        <f>+J529*G558+E558</f>
        <v>490015.5082019394</v>
      </c>
      <c r="J558" s="724">
        <f t="shared" si="50"/>
        <v>0</v>
      </c>
      <c r="K558" s="724"/>
      <c r="L558" s="728"/>
      <c r="M558" s="724">
        <f t="shared" si="51"/>
        <v>0</v>
      </c>
      <c r="N558" s="728"/>
      <c r="O558" s="724">
        <f t="shared" si="52"/>
        <v>0</v>
      </c>
      <c r="P558" s="724">
        <f t="shared" si="53"/>
        <v>0</v>
      </c>
      <c r="Q558" s="674"/>
    </row>
    <row r="559" spans="2:17">
      <c r="B559" s="330"/>
      <c r="C559" s="720">
        <f>IF(D527="","-",+C558+1)</f>
        <v>2042</v>
      </c>
      <c r="D559" s="673">
        <f t="shared" si="54"/>
        <v>2315622.3501136359</v>
      </c>
      <c r="E559" s="726">
        <f t="shared" si="55"/>
        <v>125168.77568181818</v>
      </c>
      <c r="F559" s="726">
        <f t="shared" si="48"/>
        <v>2190453.5744318175</v>
      </c>
      <c r="G559" s="673">
        <f t="shared" si="49"/>
        <v>2253037.9622727269</v>
      </c>
      <c r="H559" s="721">
        <f>+J528*G559+E559</f>
        <v>470813.04859561723</v>
      </c>
      <c r="I559" s="727">
        <f>+J529*G559+E559</f>
        <v>470813.04859561723</v>
      </c>
      <c r="J559" s="724">
        <f t="shared" si="50"/>
        <v>0</v>
      </c>
      <c r="K559" s="724"/>
      <c r="L559" s="728"/>
      <c r="M559" s="724">
        <f t="shared" si="51"/>
        <v>0</v>
      </c>
      <c r="N559" s="728"/>
      <c r="O559" s="724">
        <f t="shared" si="52"/>
        <v>0</v>
      </c>
      <c r="P559" s="724">
        <f t="shared" si="53"/>
        <v>0</v>
      </c>
      <c r="Q559" s="674"/>
    </row>
    <row r="560" spans="2:17">
      <c r="B560" s="330"/>
      <c r="C560" s="720">
        <f>IF(D527="","-",+C559+1)</f>
        <v>2043</v>
      </c>
      <c r="D560" s="673">
        <f t="shared" si="54"/>
        <v>2190453.5744318175</v>
      </c>
      <c r="E560" s="726">
        <f t="shared" si="55"/>
        <v>125168.77568181818</v>
      </c>
      <c r="F560" s="726">
        <f t="shared" si="48"/>
        <v>2065284.7987499994</v>
      </c>
      <c r="G560" s="673">
        <f t="shared" si="49"/>
        <v>2127869.1865909086</v>
      </c>
      <c r="H560" s="721">
        <f>+J528*G560+E560</f>
        <v>451610.58898929507</v>
      </c>
      <c r="I560" s="727">
        <f>+J529*G560+E560</f>
        <v>451610.58898929507</v>
      </c>
      <c r="J560" s="724">
        <f t="shared" si="50"/>
        <v>0</v>
      </c>
      <c r="K560" s="724"/>
      <c r="L560" s="728"/>
      <c r="M560" s="724">
        <f t="shared" si="51"/>
        <v>0</v>
      </c>
      <c r="N560" s="728"/>
      <c r="O560" s="724">
        <f t="shared" si="52"/>
        <v>0</v>
      </c>
      <c r="P560" s="724">
        <f t="shared" si="53"/>
        <v>0</v>
      </c>
      <c r="Q560" s="674"/>
    </row>
    <row r="561" spans="2:17">
      <c r="B561" s="330"/>
      <c r="C561" s="720">
        <f>IF(D527="","-",+C560+1)</f>
        <v>2044</v>
      </c>
      <c r="D561" s="673">
        <f t="shared" si="54"/>
        <v>2065284.7987499994</v>
      </c>
      <c r="E561" s="726">
        <f t="shared" si="55"/>
        <v>125168.77568181818</v>
      </c>
      <c r="F561" s="726">
        <f t="shared" si="48"/>
        <v>1940116.0230681812</v>
      </c>
      <c r="G561" s="673">
        <f t="shared" si="49"/>
        <v>2002700.4109090902</v>
      </c>
      <c r="H561" s="721">
        <f>+J528*G561+E561</f>
        <v>432408.12938297284</v>
      </c>
      <c r="I561" s="727">
        <f>+J529*G561+E561</f>
        <v>432408.12938297284</v>
      </c>
      <c r="J561" s="724">
        <f t="shared" si="50"/>
        <v>0</v>
      </c>
      <c r="K561" s="724"/>
      <c r="L561" s="728"/>
      <c r="M561" s="724">
        <f t="shared" si="51"/>
        <v>0</v>
      </c>
      <c r="N561" s="728"/>
      <c r="O561" s="724">
        <f t="shared" si="52"/>
        <v>0</v>
      </c>
      <c r="P561" s="724">
        <f t="shared" si="53"/>
        <v>0</v>
      </c>
      <c r="Q561" s="674"/>
    </row>
    <row r="562" spans="2:17">
      <c r="B562" s="330"/>
      <c r="C562" s="720">
        <f>IF(D527="","-",+C561+1)</f>
        <v>2045</v>
      </c>
      <c r="D562" s="673">
        <f t="shared" si="54"/>
        <v>1940116.0230681812</v>
      </c>
      <c r="E562" s="726">
        <f t="shared" si="55"/>
        <v>125168.77568181818</v>
      </c>
      <c r="F562" s="726">
        <f t="shared" si="48"/>
        <v>1814947.2473863631</v>
      </c>
      <c r="G562" s="673">
        <f t="shared" si="49"/>
        <v>1877531.6352272723</v>
      </c>
      <c r="H562" s="721">
        <f>+J528*G562+E562</f>
        <v>413205.66977665073</v>
      </c>
      <c r="I562" s="727">
        <f>+J529*G562+E562</f>
        <v>413205.66977665073</v>
      </c>
      <c r="J562" s="724">
        <f t="shared" si="50"/>
        <v>0</v>
      </c>
      <c r="K562" s="724"/>
      <c r="L562" s="728"/>
      <c r="M562" s="724">
        <f t="shared" si="51"/>
        <v>0</v>
      </c>
      <c r="N562" s="728"/>
      <c r="O562" s="724">
        <f t="shared" si="52"/>
        <v>0</v>
      </c>
      <c r="P562" s="724">
        <f t="shared" si="53"/>
        <v>0</v>
      </c>
      <c r="Q562" s="674"/>
    </row>
    <row r="563" spans="2:17">
      <c r="B563" s="330"/>
      <c r="C563" s="720">
        <f>IF(D527="","-",+C562+1)</f>
        <v>2046</v>
      </c>
      <c r="D563" s="673">
        <f t="shared" si="54"/>
        <v>1814947.2473863631</v>
      </c>
      <c r="E563" s="726">
        <f t="shared" si="55"/>
        <v>125168.77568181818</v>
      </c>
      <c r="F563" s="726">
        <f t="shared" si="48"/>
        <v>1689778.471704545</v>
      </c>
      <c r="G563" s="673">
        <f t="shared" si="49"/>
        <v>1752362.8595454539</v>
      </c>
      <c r="H563" s="721">
        <f>+J528*G563+E563</f>
        <v>394003.2101703285</v>
      </c>
      <c r="I563" s="727">
        <f>+J529*G563+E563</f>
        <v>394003.2101703285</v>
      </c>
      <c r="J563" s="724">
        <f t="shared" si="50"/>
        <v>0</v>
      </c>
      <c r="K563" s="724"/>
      <c r="L563" s="728"/>
      <c r="M563" s="724">
        <f t="shared" si="51"/>
        <v>0</v>
      </c>
      <c r="N563" s="728"/>
      <c r="O563" s="724">
        <f t="shared" si="52"/>
        <v>0</v>
      </c>
      <c r="P563" s="724">
        <f t="shared" si="53"/>
        <v>0</v>
      </c>
      <c r="Q563" s="674"/>
    </row>
    <row r="564" spans="2:17">
      <c r="B564" s="330"/>
      <c r="C564" s="720">
        <f>IF(D527="","-",+C563+1)</f>
        <v>2047</v>
      </c>
      <c r="D564" s="673">
        <f t="shared" si="54"/>
        <v>1689778.471704545</v>
      </c>
      <c r="E564" s="726">
        <f t="shared" si="55"/>
        <v>125168.77568181818</v>
      </c>
      <c r="F564" s="726">
        <f t="shared" si="48"/>
        <v>1564609.6960227268</v>
      </c>
      <c r="G564" s="673">
        <f t="shared" si="49"/>
        <v>1627194.083863636</v>
      </c>
      <c r="H564" s="721">
        <f>+J528*G564+E564</f>
        <v>374800.75056400639</v>
      </c>
      <c r="I564" s="727">
        <f>+J529*G564+E564</f>
        <v>374800.75056400639</v>
      </c>
      <c r="J564" s="724">
        <f t="shared" si="50"/>
        <v>0</v>
      </c>
      <c r="K564" s="724"/>
      <c r="L564" s="728"/>
      <c r="M564" s="724">
        <f t="shared" si="51"/>
        <v>0</v>
      </c>
      <c r="N564" s="728"/>
      <c r="O564" s="724">
        <f t="shared" si="52"/>
        <v>0</v>
      </c>
      <c r="P564" s="724">
        <f t="shared" si="53"/>
        <v>0</v>
      </c>
      <c r="Q564" s="674"/>
    </row>
    <row r="565" spans="2:17">
      <c r="B565" s="330"/>
      <c r="C565" s="720">
        <f>IF(D527="","-",+C564+1)</f>
        <v>2048</v>
      </c>
      <c r="D565" s="673">
        <f t="shared" si="54"/>
        <v>1564609.6960227268</v>
      </c>
      <c r="E565" s="726">
        <f t="shared" si="55"/>
        <v>125168.77568181818</v>
      </c>
      <c r="F565" s="726">
        <f t="shared" si="48"/>
        <v>1439440.9203409087</v>
      </c>
      <c r="G565" s="673">
        <f t="shared" si="49"/>
        <v>1502025.3081818176</v>
      </c>
      <c r="H565" s="721">
        <f>+J528*G565+E565</f>
        <v>355598.29095768416</v>
      </c>
      <c r="I565" s="727">
        <f>+J529*G565+E565</f>
        <v>355598.29095768416</v>
      </c>
      <c r="J565" s="724">
        <f t="shared" si="50"/>
        <v>0</v>
      </c>
      <c r="K565" s="724"/>
      <c r="L565" s="728"/>
      <c r="M565" s="724">
        <f t="shared" si="51"/>
        <v>0</v>
      </c>
      <c r="N565" s="728"/>
      <c r="O565" s="724">
        <f t="shared" si="52"/>
        <v>0</v>
      </c>
      <c r="P565" s="724">
        <f t="shared" si="53"/>
        <v>0</v>
      </c>
      <c r="Q565" s="674"/>
    </row>
    <row r="566" spans="2:17">
      <c r="B566" s="330"/>
      <c r="C566" s="720">
        <f>IF(D527="","-",+C565+1)</f>
        <v>2049</v>
      </c>
      <c r="D566" s="673">
        <f t="shared" si="54"/>
        <v>1439440.9203409087</v>
      </c>
      <c r="E566" s="726">
        <f t="shared" si="55"/>
        <v>125168.77568181818</v>
      </c>
      <c r="F566" s="726">
        <f t="shared" si="48"/>
        <v>1314272.1446590906</v>
      </c>
      <c r="G566" s="673">
        <f t="shared" si="49"/>
        <v>1376856.5324999997</v>
      </c>
      <c r="H566" s="721">
        <f>+J528*G566+E566</f>
        <v>336395.83135136205</v>
      </c>
      <c r="I566" s="727">
        <f>+J529*G566+E566</f>
        <v>336395.83135136205</v>
      </c>
      <c r="J566" s="724">
        <f t="shared" si="50"/>
        <v>0</v>
      </c>
      <c r="K566" s="724"/>
      <c r="L566" s="728"/>
      <c r="M566" s="724">
        <f t="shared" si="51"/>
        <v>0</v>
      </c>
      <c r="N566" s="728"/>
      <c r="O566" s="724">
        <f t="shared" si="52"/>
        <v>0</v>
      </c>
      <c r="P566" s="724">
        <f t="shared" si="53"/>
        <v>0</v>
      </c>
      <c r="Q566" s="674"/>
    </row>
    <row r="567" spans="2:17">
      <c r="B567" s="330"/>
      <c r="C567" s="720">
        <f>IF(D527="","-",+C566+1)</f>
        <v>2050</v>
      </c>
      <c r="D567" s="673">
        <f t="shared" si="54"/>
        <v>1314272.1446590906</v>
      </c>
      <c r="E567" s="726">
        <f t="shared" si="55"/>
        <v>125168.77568181818</v>
      </c>
      <c r="F567" s="726">
        <f t="shared" si="48"/>
        <v>1189103.3689772724</v>
      </c>
      <c r="G567" s="673">
        <f t="shared" si="49"/>
        <v>1251687.7568181814</v>
      </c>
      <c r="H567" s="721">
        <f>+J528*G567+E567</f>
        <v>317193.37174503983</v>
      </c>
      <c r="I567" s="727">
        <f>+J529*G567+E567</f>
        <v>317193.37174503983</v>
      </c>
      <c r="J567" s="724">
        <f t="shared" si="50"/>
        <v>0</v>
      </c>
      <c r="K567" s="724"/>
      <c r="L567" s="728"/>
      <c r="M567" s="724">
        <f t="shared" si="51"/>
        <v>0</v>
      </c>
      <c r="N567" s="728"/>
      <c r="O567" s="724">
        <f t="shared" si="52"/>
        <v>0</v>
      </c>
      <c r="P567" s="724">
        <f t="shared" si="53"/>
        <v>0</v>
      </c>
      <c r="Q567" s="674"/>
    </row>
    <row r="568" spans="2:17">
      <c r="B568" s="330"/>
      <c r="C568" s="720">
        <f>IF(D527="","-",+C567+1)</f>
        <v>2051</v>
      </c>
      <c r="D568" s="673">
        <f t="shared" si="54"/>
        <v>1189103.3689772724</v>
      </c>
      <c r="E568" s="726">
        <f t="shared" si="55"/>
        <v>125168.77568181818</v>
      </c>
      <c r="F568" s="726">
        <f t="shared" si="48"/>
        <v>1063934.5932954543</v>
      </c>
      <c r="G568" s="673">
        <f t="shared" si="49"/>
        <v>1126518.9811363635</v>
      </c>
      <c r="H568" s="721">
        <f>+J528*G568+E568</f>
        <v>297990.91213871771</v>
      </c>
      <c r="I568" s="727">
        <f>+J529*G568+E568</f>
        <v>297990.91213871771</v>
      </c>
      <c r="J568" s="724">
        <f t="shared" si="50"/>
        <v>0</v>
      </c>
      <c r="K568" s="724"/>
      <c r="L568" s="728"/>
      <c r="M568" s="724">
        <f t="shared" si="51"/>
        <v>0</v>
      </c>
      <c r="N568" s="728"/>
      <c r="O568" s="724">
        <f t="shared" si="52"/>
        <v>0</v>
      </c>
      <c r="P568" s="724">
        <f t="shared" si="53"/>
        <v>0</v>
      </c>
      <c r="Q568" s="674"/>
    </row>
    <row r="569" spans="2:17">
      <c r="B569" s="330"/>
      <c r="C569" s="720">
        <f>IF(D527="","-",+C568+1)</f>
        <v>2052</v>
      </c>
      <c r="D569" s="673">
        <f t="shared" si="54"/>
        <v>1063934.5932954543</v>
      </c>
      <c r="E569" s="726">
        <f t="shared" si="55"/>
        <v>125168.77568181818</v>
      </c>
      <c r="F569" s="726">
        <f t="shared" si="48"/>
        <v>938765.81761363614</v>
      </c>
      <c r="G569" s="673">
        <f t="shared" si="49"/>
        <v>1001350.2054545452</v>
      </c>
      <c r="H569" s="721">
        <f>+J528*G569+E569</f>
        <v>278788.45253239555</v>
      </c>
      <c r="I569" s="727">
        <f>+J529*G569+E569</f>
        <v>278788.45253239555</v>
      </c>
      <c r="J569" s="724">
        <f t="shared" si="50"/>
        <v>0</v>
      </c>
      <c r="K569" s="724"/>
      <c r="L569" s="728"/>
      <c r="M569" s="724">
        <f t="shared" si="51"/>
        <v>0</v>
      </c>
      <c r="N569" s="728"/>
      <c r="O569" s="724">
        <f t="shared" si="52"/>
        <v>0</v>
      </c>
      <c r="P569" s="724">
        <f t="shared" si="53"/>
        <v>0</v>
      </c>
      <c r="Q569" s="674"/>
    </row>
    <row r="570" spans="2:17">
      <c r="B570" s="330"/>
      <c r="C570" s="720">
        <f>IF(D527="","-",+C569+1)</f>
        <v>2053</v>
      </c>
      <c r="D570" s="673">
        <f t="shared" si="54"/>
        <v>938765.81761363614</v>
      </c>
      <c r="E570" s="726">
        <f t="shared" si="55"/>
        <v>125168.77568181818</v>
      </c>
      <c r="F570" s="726">
        <f t="shared" si="48"/>
        <v>813597.04193181801</v>
      </c>
      <c r="G570" s="673">
        <f t="shared" si="49"/>
        <v>876181.42977272708</v>
      </c>
      <c r="H570" s="721">
        <f>+J528*G570+E570</f>
        <v>259585.99292607338</v>
      </c>
      <c r="I570" s="727">
        <f>+J529*G570+E570</f>
        <v>259585.99292607338</v>
      </c>
      <c r="J570" s="724">
        <f t="shared" si="50"/>
        <v>0</v>
      </c>
      <c r="K570" s="724"/>
      <c r="L570" s="728"/>
      <c r="M570" s="724">
        <f t="shared" si="51"/>
        <v>0</v>
      </c>
      <c r="N570" s="728"/>
      <c r="O570" s="724">
        <f t="shared" si="52"/>
        <v>0</v>
      </c>
      <c r="P570" s="724">
        <f t="shared" si="53"/>
        <v>0</v>
      </c>
      <c r="Q570" s="674"/>
    </row>
    <row r="571" spans="2:17">
      <c r="B571" s="330"/>
      <c r="C571" s="720">
        <f>IF(D527="","-",+C570+1)</f>
        <v>2054</v>
      </c>
      <c r="D571" s="673">
        <f t="shared" si="54"/>
        <v>813597.04193181801</v>
      </c>
      <c r="E571" s="726">
        <f t="shared" si="55"/>
        <v>125168.77568181818</v>
      </c>
      <c r="F571" s="726">
        <f t="shared" si="48"/>
        <v>688428.26624999987</v>
      </c>
      <c r="G571" s="673">
        <f t="shared" si="49"/>
        <v>751012.65409090894</v>
      </c>
      <c r="H571" s="721">
        <f>+J528*G571+E571</f>
        <v>240383.53331975121</v>
      </c>
      <c r="I571" s="727">
        <f>+J529*G571+E571</f>
        <v>240383.53331975121</v>
      </c>
      <c r="J571" s="724">
        <f t="shared" si="50"/>
        <v>0</v>
      </c>
      <c r="K571" s="724"/>
      <c r="L571" s="728"/>
      <c r="M571" s="724">
        <f t="shared" si="51"/>
        <v>0</v>
      </c>
      <c r="N571" s="728"/>
      <c r="O571" s="724">
        <f t="shared" si="52"/>
        <v>0</v>
      </c>
      <c r="P571" s="724">
        <f t="shared" si="53"/>
        <v>0</v>
      </c>
      <c r="Q571" s="674"/>
    </row>
    <row r="572" spans="2:17">
      <c r="B572" s="330"/>
      <c r="C572" s="720">
        <f>IF(D527="","-",+C571+1)</f>
        <v>2055</v>
      </c>
      <c r="D572" s="673">
        <f t="shared" si="54"/>
        <v>688428.26624999987</v>
      </c>
      <c r="E572" s="726">
        <f t="shared" si="55"/>
        <v>125168.77568181818</v>
      </c>
      <c r="F572" s="726">
        <f t="shared" si="48"/>
        <v>563259.49056818173</v>
      </c>
      <c r="G572" s="673">
        <f t="shared" si="49"/>
        <v>625843.8784090908</v>
      </c>
      <c r="H572" s="721">
        <f>+J528*G572+E572</f>
        <v>221181.07371342904</v>
      </c>
      <c r="I572" s="727">
        <f>+J529*G572+E572</f>
        <v>221181.07371342904</v>
      </c>
      <c r="J572" s="724">
        <f t="shared" si="50"/>
        <v>0</v>
      </c>
      <c r="K572" s="724"/>
      <c r="L572" s="728"/>
      <c r="M572" s="724">
        <f t="shared" si="51"/>
        <v>0</v>
      </c>
      <c r="N572" s="728"/>
      <c r="O572" s="724">
        <f t="shared" si="52"/>
        <v>0</v>
      </c>
      <c r="P572" s="724">
        <f t="shared" si="53"/>
        <v>0</v>
      </c>
      <c r="Q572" s="674"/>
    </row>
    <row r="573" spans="2:17">
      <c r="B573" s="330"/>
      <c r="C573" s="720">
        <f>IF(D527="","-",+C572+1)</f>
        <v>2056</v>
      </c>
      <c r="D573" s="673">
        <f t="shared" si="54"/>
        <v>563259.49056818173</v>
      </c>
      <c r="E573" s="726">
        <f t="shared" si="55"/>
        <v>125168.77568181818</v>
      </c>
      <c r="F573" s="726">
        <f t="shared" si="48"/>
        <v>438090.71488636354</v>
      </c>
      <c r="G573" s="673">
        <f t="shared" si="49"/>
        <v>500675.10272727266</v>
      </c>
      <c r="H573" s="721">
        <f>+J528*G573+E573</f>
        <v>201978.61410710687</v>
      </c>
      <c r="I573" s="727">
        <f>+J529*G573+E573</f>
        <v>201978.61410710687</v>
      </c>
      <c r="J573" s="724">
        <f t="shared" si="50"/>
        <v>0</v>
      </c>
      <c r="K573" s="724"/>
      <c r="L573" s="728"/>
      <c r="M573" s="724">
        <f t="shared" si="51"/>
        <v>0</v>
      </c>
      <c r="N573" s="728"/>
      <c r="O573" s="724">
        <f t="shared" si="52"/>
        <v>0</v>
      </c>
      <c r="P573" s="724">
        <f t="shared" si="53"/>
        <v>0</v>
      </c>
      <c r="Q573" s="674"/>
    </row>
    <row r="574" spans="2:17">
      <c r="B574" s="330"/>
      <c r="C574" s="720">
        <f>IF(D527="","-",+C573+1)</f>
        <v>2057</v>
      </c>
      <c r="D574" s="673">
        <f t="shared" si="54"/>
        <v>438090.71488636354</v>
      </c>
      <c r="E574" s="726">
        <f t="shared" si="55"/>
        <v>125168.77568181818</v>
      </c>
      <c r="F574" s="726">
        <f t="shared" si="48"/>
        <v>312921.93920454534</v>
      </c>
      <c r="G574" s="673">
        <f t="shared" si="49"/>
        <v>375506.32704545441</v>
      </c>
      <c r="H574" s="721">
        <f>+J528*G574+E574</f>
        <v>182776.15450078467</v>
      </c>
      <c r="I574" s="727">
        <f>+J529*G574+E574</f>
        <v>182776.15450078467</v>
      </c>
      <c r="J574" s="724">
        <f t="shared" si="50"/>
        <v>0</v>
      </c>
      <c r="K574" s="724"/>
      <c r="L574" s="728"/>
      <c r="M574" s="724">
        <f t="shared" si="51"/>
        <v>0</v>
      </c>
      <c r="N574" s="728"/>
      <c r="O574" s="724">
        <f t="shared" si="52"/>
        <v>0</v>
      </c>
      <c r="P574" s="724">
        <f t="shared" si="53"/>
        <v>0</v>
      </c>
      <c r="Q574" s="674"/>
    </row>
    <row r="575" spans="2:17">
      <c r="B575" s="330"/>
      <c r="C575" s="720">
        <f>IF(D527="","-",+C574+1)</f>
        <v>2058</v>
      </c>
      <c r="D575" s="673">
        <f t="shared" si="54"/>
        <v>312921.93920454534</v>
      </c>
      <c r="E575" s="726">
        <f t="shared" si="55"/>
        <v>125168.77568181818</v>
      </c>
      <c r="F575" s="726">
        <f t="shared" si="48"/>
        <v>187753.16352272715</v>
      </c>
      <c r="G575" s="673">
        <f t="shared" si="49"/>
        <v>250337.55136363624</v>
      </c>
      <c r="H575" s="721">
        <f>+J528*G575+E575</f>
        <v>163573.6948944625</v>
      </c>
      <c r="I575" s="727">
        <f>+J529*G575+E575</f>
        <v>163573.6948944625</v>
      </c>
      <c r="J575" s="724">
        <f t="shared" si="50"/>
        <v>0</v>
      </c>
      <c r="K575" s="724"/>
      <c r="L575" s="728"/>
      <c r="M575" s="724">
        <f t="shared" si="51"/>
        <v>0</v>
      </c>
      <c r="N575" s="728"/>
      <c r="O575" s="724">
        <f t="shared" si="52"/>
        <v>0</v>
      </c>
      <c r="P575" s="724">
        <f t="shared" si="53"/>
        <v>0</v>
      </c>
      <c r="Q575" s="674"/>
    </row>
    <row r="576" spans="2:17">
      <c r="B576" s="330"/>
      <c r="C576" s="720">
        <f>IF(D527="","-",+C575+1)</f>
        <v>2059</v>
      </c>
      <c r="D576" s="673">
        <f t="shared" si="54"/>
        <v>187753.16352272715</v>
      </c>
      <c r="E576" s="726">
        <f t="shared" si="55"/>
        <v>125168.77568181818</v>
      </c>
      <c r="F576" s="726">
        <f t="shared" si="48"/>
        <v>62584.387840908967</v>
      </c>
      <c r="G576" s="673">
        <f t="shared" si="49"/>
        <v>125168.77568181805</v>
      </c>
      <c r="H576" s="721">
        <f>+J528*G576+E576</f>
        <v>144371.23528814033</v>
      </c>
      <c r="I576" s="727">
        <f>+J529*G576+E576</f>
        <v>144371.23528814033</v>
      </c>
      <c r="J576" s="724">
        <f t="shared" si="50"/>
        <v>0</v>
      </c>
      <c r="K576" s="724"/>
      <c r="L576" s="728"/>
      <c r="M576" s="724">
        <f t="shared" si="51"/>
        <v>0</v>
      </c>
      <c r="N576" s="728"/>
      <c r="O576" s="724">
        <f t="shared" si="52"/>
        <v>0</v>
      </c>
      <c r="P576" s="724">
        <f t="shared" si="53"/>
        <v>0</v>
      </c>
      <c r="Q576" s="674"/>
    </row>
    <row r="577" spans="2:17">
      <c r="B577" s="330"/>
      <c r="C577" s="720">
        <f>IF(D527="","-",+C576+1)</f>
        <v>2060</v>
      </c>
      <c r="D577" s="673">
        <f t="shared" si="54"/>
        <v>62584.387840908967</v>
      </c>
      <c r="E577" s="726">
        <f t="shared" si="55"/>
        <v>125168.77568181818</v>
      </c>
      <c r="F577" s="726">
        <f t="shared" si="48"/>
        <v>-62584.387840909214</v>
      </c>
      <c r="G577" s="673">
        <f t="shared" si="49"/>
        <v>-1.2369127944111824E-10</v>
      </c>
      <c r="H577" s="721">
        <f>+J528*G577+E577</f>
        <v>125168.77568181817</v>
      </c>
      <c r="I577" s="727">
        <f>+J529*G577+E577</f>
        <v>125168.77568181817</v>
      </c>
      <c r="J577" s="724">
        <f t="shared" si="50"/>
        <v>0</v>
      </c>
      <c r="K577" s="724"/>
      <c r="L577" s="728"/>
      <c r="M577" s="724">
        <f t="shared" si="51"/>
        <v>0</v>
      </c>
      <c r="N577" s="728"/>
      <c r="O577" s="724">
        <f t="shared" si="52"/>
        <v>0</v>
      </c>
      <c r="P577" s="724">
        <f t="shared" si="53"/>
        <v>0</v>
      </c>
      <c r="Q577" s="674"/>
    </row>
    <row r="578" spans="2:17">
      <c r="B578" s="330"/>
      <c r="C578" s="720">
        <f>IF(D527="","-",+C577+1)</f>
        <v>2061</v>
      </c>
      <c r="D578" s="673">
        <v>0</v>
      </c>
      <c r="E578" s="726">
        <v>0</v>
      </c>
      <c r="F578" s="726">
        <f t="shared" si="48"/>
        <v>0</v>
      </c>
      <c r="G578" s="673">
        <f t="shared" si="49"/>
        <v>0</v>
      </c>
      <c r="H578" s="721">
        <f>+J528*G578+E578</f>
        <v>0</v>
      </c>
      <c r="I578" s="727">
        <f>+J529*G578+E578</f>
        <v>0</v>
      </c>
      <c r="J578" s="724">
        <f t="shared" si="50"/>
        <v>0</v>
      </c>
      <c r="K578" s="724"/>
      <c r="L578" s="728"/>
      <c r="M578" s="724">
        <f t="shared" si="51"/>
        <v>0</v>
      </c>
      <c r="N578" s="728"/>
      <c r="O578" s="724">
        <f t="shared" si="52"/>
        <v>0</v>
      </c>
      <c r="P578" s="724">
        <f t="shared" si="53"/>
        <v>0</v>
      </c>
      <c r="Q578" s="674"/>
    </row>
    <row r="579" spans="2:17">
      <c r="B579" s="330"/>
      <c r="C579" s="720">
        <f>IF(D527="","-",+C578+1)</f>
        <v>2062</v>
      </c>
      <c r="D579" s="673">
        <v>0</v>
      </c>
      <c r="E579" s="726">
        <v>0</v>
      </c>
      <c r="F579" s="726">
        <f t="shared" si="48"/>
        <v>0</v>
      </c>
      <c r="G579" s="673">
        <f t="shared" si="49"/>
        <v>0</v>
      </c>
      <c r="H579" s="721">
        <f>+J528*G579+E579</f>
        <v>0</v>
      </c>
      <c r="I579" s="727">
        <f>+J529*G579+E579</f>
        <v>0</v>
      </c>
      <c r="J579" s="724">
        <f t="shared" si="50"/>
        <v>0</v>
      </c>
      <c r="K579" s="724"/>
      <c r="L579" s="728"/>
      <c r="M579" s="724">
        <f t="shared" si="51"/>
        <v>0</v>
      </c>
      <c r="N579" s="728"/>
      <c r="O579" s="724">
        <f t="shared" si="52"/>
        <v>0</v>
      </c>
      <c r="P579" s="724">
        <f t="shared" si="53"/>
        <v>0</v>
      </c>
      <c r="Q579" s="674"/>
    </row>
    <row r="580" spans="2:17">
      <c r="B580" s="330"/>
      <c r="C580" s="720">
        <f>IF(D527="","-",+C579+1)</f>
        <v>2063</v>
      </c>
      <c r="D580" s="673">
        <v>0</v>
      </c>
      <c r="E580" s="726">
        <v>0</v>
      </c>
      <c r="F580" s="726">
        <f t="shared" si="48"/>
        <v>0</v>
      </c>
      <c r="G580" s="673">
        <f t="shared" si="49"/>
        <v>0</v>
      </c>
      <c r="H580" s="721">
        <f>+J528*G580+E580</f>
        <v>0</v>
      </c>
      <c r="I580" s="727">
        <f>+J529*G580+E580</f>
        <v>0</v>
      </c>
      <c r="J580" s="724">
        <f t="shared" si="50"/>
        <v>0</v>
      </c>
      <c r="K580" s="724"/>
      <c r="L580" s="728"/>
      <c r="M580" s="724">
        <f t="shared" si="51"/>
        <v>0</v>
      </c>
      <c r="N580" s="728"/>
      <c r="O580" s="724">
        <f t="shared" si="52"/>
        <v>0</v>
      </c>
      <c r="P580" s="724">
        <f t="shared" si="53"/>
        <v>0</v>
      </c>
      <c r="Q580" s="674"/>
    </row>
    <row r="581" spans="2:17">
      <c r="B581" s="330"/>
      <c r="C581" s="720">
        <f>IF(D527="","-",+C580+1)</f>
        <v>2064</v>
      </c>
      <c r="D581" s="673">
        <f t="shared" si="54"/>
        <v>0</v>
      </c>
      <c r="E581" s="726">
        <v>0</v>
      </c>
      <c r="F581" s="726">
        <f t="shared" si="48"/>
        <v>0</v>
      </c>
      <c r="G581" s="673">
        <f t="shared" si="49"/>
        <v>0</v>
      </c>
      <c r="H581" s="721">
        <f>+J528*G581+E581</f>
        <v>0</v>
      </c>
      <c r="I581" s="727">
        <f>+J529*G581+E581</f>
        <v>0</v>
      </c>
      <c r="J581" s="724">
        <f t="shared" si="50"/>
        <v>0</v>
      </c>
      <c r="K581" s="724"/>
      <c r="L581" s="728"/>
      <c r="M581" s="724">
        <f t="shared" si="51"/>
        <v>0</v>
      </c>
      <c r="N581" s="728"/>
      <c r="O581" s="724">
        <f t="shared" si="52"/>
        <v>0</v>
      </c>
      <c r="P581" s="724">
        <f t="shared" si="53"/>
        <v>0</v>
      </c>
      <c r="Q581" s="674"/>
    </row>
    <row r="582" spans="2:17">
      <c r="B582" s="330"/>
      <c r="C582" s="720">
        <f>IF(D527="","-",+C581+1)</f>
        <v>2065</v>
      </c>
      <c r="D582" s="673">
        <f t="shared" si="54"/>
        <v>0</v>
      </c>
      <c r="E582" s="726">
        <v>0</v>
      </c>
      <c r="F582" s="726">
        <f t="shared" si="48"/>
        <v>0</v>
      </c>
      <c r="G582" s="673">
        <f t="shared" si="49"/>
        <v>0</v>
      </c>
      <c r="H582" s="721">
        <f>+J528*G582+E582</f>
        <v>0</v>
      </c>
      <c r="I582" s="727">
        <f>+J529*G582+E582</f>
        <v>0</v>
      </c>
      <c r="J582" s="724">
        <f t="shared" si="50"/>
        <v>0</v>
      </c>
      <c r="K582" s="724"/>
      <c r="L582" s="728"/>
      <c r="M582" s="724">
        <f t="shared" si="51"/>
        <v>0</v>
      </c>
      <c r="N582" s="728"/>
      <c r="O582" s="724">
        <f t="shared" si="52"/>
        <v>0</v>
      </c>
      <c r="P582" s="724">
        <f t="shared" si="53"/>
        <v>0</v>
      </c>
      <c r="Q582" s="674"/>
    </row>
    <row r="583" spans="2:17">
      <c r="B583" s="330"/>
      <c r="C583" s="720">
        <f>IF(D527="","-",+C582+1)</f>
        <v>2066</v>
      </c>
      <c r="D583" s="673">
        <f t="shared" si="54"/>
        <v>0</v>
      </c>
      <c r="E583" s="726">
        <v>0</v>
      </c>
      <c r="F583" s="726">
        <f t="shared" si="48"/>
        <v>0</v>
      </c>
      <c r="G583" s="673">
        <f t="shared" si="49"/>
        <v>0</v>
      </c>
      <c r="H583" s="721">
        <f>+J528*G583+E583</f>
        <v>0</v>
      </c>
      <c r="I583" s="727">
        <f>+J529*G583+E583</f>
        <v>0</v>
      </c>
      <c r="J583" s="724">
        <f t="shared" si="50"/>
        <v>0</v>
      </c>
      <c r="K583" s="724"/>
      <c r="L583" s="728"/>
      <c r="M583" s="724">
        <f t="shared" si="51"/>
        <v>0</v>
      </c>
      <c r="N583" s="728"/>
      <c r="O583" s="724">
        <f t="shared" si="52"/>
        <v>0</v>
      </c>
      <c r="P583" s="724">
        <f t="shared" si="53"/>
        <v>0</v>
      </c>
      <c r="Q583" s="674"/>
    </row>
    <row r="584" spans="2:17">
      <c r="B584" s="330"/>
      <c r="C584" s="720">
        <f>IF(D527="","-",+C583+1)</f>
        <v>2067</v>
      </c>
      <c r="D584" s="673">
        <f t="shared" si="54"/>
        <v>0</v>
      </c>
      <c r="E584" s="726">
        <v>0</v>
      </c>
      <c r="F584" s="726">
        <f t="shared" si="48"/>
        <v>0</v>
      </c>
      <c r="G584" s="673">
        <f t="shared" si="49"/>
        <v>0</v>
      </c>
      <c r="H584" s="721">
        <f>+J528*G584+E584</f>
        <v>0</v>
      </c>
      <c r="I584" s="727">
        <f>+J529*G584+E584</f>
        <v>0</v>
      </c>
      <c r="J584" s="724">
        <f t="shared" si="50"/>
        <v>0</v>
      </c>
      <c r="K584" s="724"/>
      <c r="L584" s="728"/>
      <c r="M584" s="724">
        <f t="shared" si="51"/>
        <v>0</v>
      </c>
      <c r="N584" s="728"/>
      <c r="O584" s="724">
        <f t="shared" si="52"/>
        <v>0</v>
      </c>
      <c r="P584" s="724">
        <f t="shared" si="53"/>
        <v>0</v>
      </c>
      <c r="Q584" s="674"/>
    </row>
    <row r="585" spans="2:17">
      <c r="B585" s="330"/>
      <c r="C585" s="720">
        <f>IF(D527="","-",+C584+1)</f>
        <v>2068</v>
      </c>
      <c r="D585" s="673">
        <f t="shared" si="54"/>
        <v>0</v>
      </c>
      <c r="E585" s="726">
        <v>0</v>
      </c>
      <c r="F585" s="726">
        <f t="shared" si="48"/>
        <v>0</v>
      </c>
      <c r="G585" s="673">
        <f t="shared" si="49"/>
        <v>0</v>
      </c>
      <c r="H585" s="721">
        <f>+J528*G585+E585</f>
        <v>0</v>
      </c>
      <c r="I585" s="727">
        <f>+J529*G585+E585</f>
        <v>0</v>
      </c>
      <c r="J585" s="724">
        <f t="shared" si="50"/>
        <v>0</v>
      </c>
      <c r="K585" s="724"/>
      <c r="L585" s="728"/>
      <c r="M585" s="724">
        <f t="shared" si="51"/>
        <v>0</v>
      </c>
      <c r="N585" s="728"/>
      <c r="O585" s="724">
        <f t="shared" si="52"/>
        <v>0</v>
      </c>
      <c r="P585" s="724">
        <f t="shared" si="53"/>
        <v>0</v>
      </c>
      <c r="Q585" s="674"/>
    </row>
    <row r="586" spans="2:17">
      <c r="B586" s="330"/>
      <c r="C586" s="720">
        <f>IF(D527="","-",+C585+1)</f>
        <v>2069</v>
      </c>
      <c r="D586" s="673">
        <f t="shared" si="54"/>
        <v>0</v>
      </c>
      <c r="E586" s="726">
        <v>0</v>
      </c>
      <c r="F586" s="726">
        <f t="shared" si="48"/>
        <v>0</v>
      </c>
      <c r="G586" s="673">
        <f t="shared" si="49"/>
        <v>0</v>
      </c>
      <c r="H586" s="721">
        <f>+J528*G586+E586</f>
        <v>0</v>
      </c>
      <c r="I586" s="727">
        <f>+J529*G586+E586</f>
        <v>0</v>
      </c>
      <c r="J586" s="724">
        <f t="shared" si="50"/>
        <v>0</v>
      </c>
      <c r="K586" s="724"/>
      <c r="L586" s="728"/>
      <c r="M586" s="724">
        <f t="shared" si="51"/>
        <v>0</v>
      </c>
      <c r="N586" s="728"/>
      <c r="O586" s="724">
        <f t="shared" si="52"/>
        <v>0</v>
      </c>
      <c r="P586" s="724">
        <f t="shared" si="53"/>
        <v>0</v>
      </c>
      <c r="Q586" s="674"/>
    </row>
    <row r="587" spans="2:17">
      <c r="B587" s="330"/>
      <c r="C587" s="720">
        <f>IF(D527="","-",+C586+1)</f>
        <v>2070</v>
      </c>
      <c r="D587" s="673">
        <f t="shared" si="54"/>
        <v>0</v>
      </c>
      <c r="E587" s="726">
        <v>0</v>
      </c>
      <c r="F587" s="726">
        <f t="shared" si="48"/>
        <v>0</v>
      </c>
      <c r="G587" s="673">
        <f t="shared" si="49"/>
        <v>0</v>
      </c>
      <c r="H587" s="721">
        <f>+J528*G587+E587</f>
        <v>0</v>
      </c>
      <c r="I587" s="727">
        <f>+J529*G587+E587</f>
        <v>0</v>
      </c>
      <c r="J587" s="724">
        <f t="shared" si="50"/>
        <v>0</v>
      </c>
      <c r="K587" s="724"/>
      <c r="L587" s="728"/>
      <c r="M587" s="724">
        <f t="shared" si="51"/>
        <v>0</v>
      </c>
      <c r="N587" s="728"/>
      <c r="O587" s="724">
        <f t="shared" si="52"/>
        <v>0</v>
      </c>
      <c r="P587" s="724">
        <f t="shared" si="53"/>
        <v>0</v>
      </c>
      <c r="Q587" s="674"/>
    </row>
    <row r="588" spans="2:17">
      <c r="B588" s="330"/>
      <c r="C588" s="720">
        <f>IF(D527="","-",+C587+1)</f>
        <v>2071</v>
      </c>
      <c r="D588" s="673">
        <f t="shared" si="54"/>
        <v>0</v>
      </c>
      <c r="E588" s="726">
        <v>0</v>
      </c>
      <c r="F588" s="726">
        <f t="shared" si="48"/>
        <v>0</v>
      </c>
      <c r="G588" s="673">
        <f t="shared" si="49"/>
        <v>0</v>
      </c>
      <c r="H588" s="721">
        <f>+J528*G588+E588</f>
        <v>0</v>
      </c>
      <c r="I588" s="727">
        <f>+J529*G588+E588</f>
        <v>0</v>
      </c>
      <c r="J588" s="724">
        <f t="shared" si="50"/>
        <v>0</v>
      </c>
      <c r="K588" s="724"/>
      <c r="L588" s="728"/>
      <c r="M588" s="724">
        <f t="shared" si="51"/>
        <v>0</v>
      </c>
      <c r="N588" s="728"/>
      <c r="O588" s="724">
        <f t="shared" si="52"/>
        <v>0</v>
      </c>
      <c r="P588" s="724">
        <f t="shared" si="53"/>
        <v>0</v>
      </c>
      <c r="Q588" s="674"/>
    </row>
    <row r="589" spans="2:17">
      <c r="B589" s="330"/>
      <c r="C589" s="720">
        <f>IF(D527="","-",+C588+1)</f>
        <v>2072</v>
      </c>
      <c r="D589" s="673">
        <f t="shared" si="54"/>
        <v>0</v>
      </c>
      <c r="E589" s="726">
        <v>0</v>
      </c>
      <c r="F589" s="726">
        <f t="shared" si="48"/>
        <v>0</v>
      </c>
      <c r="G589" s="673">
        <f t="shared" si="49"/>
        <v>0</v>
      </c>
      <c r="H589" s="721">
        <f>+J528*G589+E589</f>
        <v>0</v>
      </c>
      <c r="I589" s="727">
        <f>+J529*G589+E589</f>
        <v>0</v>
      </c>
      <c r="J589" s="724">
        <f t="shared" si="50"/>
        <v>0</v>
      </c>
      <c r="K589" s="724"/>
      <c r="L589" s="728"/>
      <c r="M589" s="724">
        <f t="shared" si="51"/>
        <v>0</v>
      </c>
      <c r="N589" s="728"/>
      <c r="O589" s="724">
        <f t="shared" si="52"/>
        <v>0</v>
      </c>
      <c r="P589" s="724">
        <f t="shared" si="53"/>
        <v>0</v>
      </c>
      <c r="Q589" s="674"/>
    </row>
    <row r="590" spans="2:17">
      <c r="B590" s="330"/>
      <c r="C590" s="720">
        <f>IF(D527="","-",+C589+1)</f>
        <v>2073</v>
      </c>
      <c r="D590" s="673">
        <f t="shared" si="54"/>
        <v>0</v>
      </c>
      <c r="E590" s="726">
        <v>0</v>
      </c>
      <c r="F590" s="726">
        <f t="shared" si="48"/>
        <v>0</v>
      </c>
      <c r="G590" s="673">
        <f t="shared" si="49"/>
        <v>0</v>
      </c>
      <c r="H590" s="721">
        <f>+J528*G590+E590</f>
        <v>0</v>
      </c>
      <c r="I590" s="727">
        <f>+J529*G590+E590</f>
        <v>0</v>
      </c>
      <c r="J590" s="724">
        <f t="shared" si="50"/>
        <v>0</v>
      </c>
      <c r="K590" s="724"/>
      <c r="L590" s="728"/>
      <c r="M590" s="724">
        <f t="shared" si="51"/>
        <v>0</v>
      </c>
      <c r="N590" s="728"/>
      <c r="O590" s="724">
        <f t="shared" si="52"/>
        <v>0</v>
      </c>
      <c r="P590" s="724">
        <f t="shared" si="53"/>
        <v>0</v>
      </c>
      <c r="Q590" s="674"/>
    </row>
    <row r="591" spans="2:17">
      <c r="B591" s="330"/>
      <c r="C591" s="720">
        <f>IF(D527="","-",+C590+1)</f>
        <v>2074</v>
      </c>
      <c r="D591" s="673">
        <f t="shared" si="54"/>
        <v>0</v>
      </c>
      <c r="E591" s="726">
        <v>0</v>
      </c>
      <c r="F591" s="726">
        <f t="shared" si="48"/>
        <v>0</v>
      </c>
      <c r="G591" s="673">
        <f t="shared" si="49"/>
        <v>0</v>
      </c>
      <c r="H591" s="721">
        <f>+J528*G591+E591</f>
        <v>0</v>
      </c>
      <c r="I591" s="727">
        <f>+J529*G591+E591</f>
        <v>0</v>
      </c>
      <c r="J591" s="724">
        <f t="shared" si="50"/>
        <v>0</v>
      </c>
      <c r="K591" s="724"/>
      <c r="L591" s="728"/>
      <c r="M591" s="724">
        <f t="shared" si="51"/>
        <v>0</v>
      </c>
      <c r="N591" s="728"/>
      <c r="O591" s="724">
        <f t="shared" si="52"/>
        <v>0</v>
      </c>
      <c r="P591" s="724">
        <f t="shared" si="53"/>
        <v>0</v>
      </c>
      <c r="Q591" s="674"/>
    </row>
    <row r="592" spans="2:17" ht="13.5" thickBot="1">
      <c r="B592" s="330"/>
      <c r="C592" s="730">
        <f>IF(D527="","-",+C591+1)</f>
        <v>2075</v>
      </c>
      <c r="D592" s="731">
        <f t="shared" si="54"/>
        <v>0</v>
      </c>
      <c r="E592" s="1309">
        <v>0</v>
      </c>
      <c r="F592" s="732">
        <f t="shared" si="48"/>
        <v>0</v>
      </c>
      <c r="G592" s="731">
        <f t="shared" si="49"/>
        <v>0</v>
      </c>
      <c r="H592" s="733">
        <f>+J528*G592+E592</f>
        <v>0</v>
      </c>
      <c r="I592" s="733">
        <f>+J529*G592+E592</f>
        <v>0</v>
      </c>
      <c r="J592" s="734">
        <f t="shared" si="50"/>
        <v>0</v>
      </c>
      <c r="K592" s="724"/>
      <c r="L592" s="735"/>
      <c r="M592" s="734">
        <f t="shared" si="51"/>
        <v>0</v>
      </c>
      <c r="N592" s="735"/>
      <c r="O592" s="734">
        <f t="shared" si="52"/>
        <v>0</v>
      </c>
      <c r="P592" s="734">
        <f t="shared" si="53"/>
        <v>0</v>
      </c>
      <c r="Q592" s="674"/>
    </row>
    <row r="593" spans="1:17">
      <c r="B593" s="330"/>
      <c r="C593" s="673" t="s">
        <v>288</v>
      </c>
      <c r="D593" s="669"/>
      <c r="E593" s="669">
        <f>SUM(E533:E592)</f>
        <v>5570010.5178409088</v>
      </c>
      <c r="F593" s="669"/>
      <c r="G593" s="669"/>
      <c r="H593" s="669">
        <f>SUM(H533:H592)</f>
        <v>24575644.913198285</v>
      </c>
      <c r="I593" s="669">
        <f>SUM(I533:I592)</f>
        <v>24575644.913198285</v>
      </c>
      <c r="J593" s="669">
        <f>SUM(J533:J592)</f>
        <v>0</v>
      </c>
      <c r="K593" s="669"/>
      <c r="L593" s="669"/>
      <c r="M593" s="669"/>
      <c r="N593" s="669"/>
      <c r="O593" s="669"/>
      <c r="Q593" s="669"/>
    </row>
    <row r="594" spans="1:17">
      <c r="B594" s="330"/>
      <c r="D594" s="563"/>
      <c r="E594" s="542"/>
      <c r="F594" s="542"/>
      <c r="G594" s="542"/>
      <c r="H594" s="542"/>
      <c r="I594" s="646"/>
      <c r="J594" s="646"/>
      <c r="K594" s="669"/>
      <c r="L594" s="646"/>
      <c r="M594" s="646"/>
      <c r="N594" s="646"/>
      <c r="O594" s="646"/>
      <c r="Q594" s="669"/>
    </row>
    <row r="595" spans="1:17">
      <c r="B595" s="330"/>
      <c r="C595" s="542" t="s">
        <v>595</v>
      </c>
      <c r="D595" s="563"/>
      <c r="E595" s="542"/>
      <c r="F595" s="542"/>
      <c r="G595" s="542"/>
      <c r="H595" s="542"/>
      <c r="I595" s="646"/>
      <c r="J595" s="646"/>
      <c r="K595" s="669"/>
      <c r="L595" s="646"/>
      <c r="M595" s="646"/>
      <c r="N595" s="646"/>
      <c r="O595" s="646"/>
      <c r="Q595" s="669"/>
    </row>
    <row r="596" spans="1:17">
      <c r="B596" s="330"/>
      <c r="D596" s="563"/>
      <c r="E596" s="542"/>
      <c r="F596" s="542"/>
      <c r="G596" s="542"/>
      <c r="H596" s="542"/>
      <c r="I596" s="646"/>
      <c r="J596" s="646"/>
      <c r="K596" s="669"/>
      <c r="L596" s="646"/>
      <c r="M596" s="646"/>
      <c r="N596" s="646"/>
      <c r="O596" s="646"/>
      <c r="Q596" s="669"/>
    </row>
    <row r="597" spans="1:17">
      <c r="B597" s="330"/>
      <c r="C597" s="576" t="s">
        <v>596</v>
      </c>
      <c r="D597" s="673"/>
      <c r="E597" s="673"/>
      <c r="F597" s="673"/>
      <c r="G597" s="673"/>
      <c r="H597" s="669"/>
      <c r="I597" s="669"/>
      <c r="J597" s="674"/>
      <c r="K597" s="674"/>
      <c r="L597" s="674"/>
      <c r="M597" s="674"/>
      <c r="N597" s="674"/>
      <c r="O597" s="674"/>
      <c r="Q597" s="674"/>
    </row>
    <row r="598" spans="1:17">
      <c r="B598" s="330"/>
      <c r="C598" s="576" t="s">
        <v>476</v>
      </c>
      <c r="D598" s="673"/>
      <c r="E598" s="673"/>
      <c r="F598" s="673"/>
      <c r="G598" s="673"/>
      <c r="H598" s="669"/>
      <c r="I598" s="669"/>
      <c r="J598" s="674"/>
      <c r="K598" s="674"/>
      <c r="L598" s="674"/>
      <c r="M598" s="674"/>
      <c r="N598" s="674"/>
      <c r="O598" s="674"/>
      <c r="Q598" s="674"/>
    </row>
    <row r="599" spans="1:17">
      <c r="B599" s="330"/>
      <c r="C599" s="576" t="s">
        <v>289</v>
      </c>
      <c r="D599" s="673"/>
      <c r="E599" s="673"/>
      <c r="F599" s="673"/>
      <c r="G599" s="673"/>
      <c r="H599" s="669"/>
      <c r="I599" s="669"/>
      <c r="J599" s="674"/>
      <c r="K599" s="674"/>
      <c r="L599" s="674"/>
      <c r="M599" s="674"/>
      <c r="N599" s="674"/>
      <c r="O599" s="674"/>
      <c r="Q599" s="674"/>
    </row>
    <row r="600" spans="1:17" ht="20.25">
      <c r="A600" s="675" t="s">
        <v>764</v>
      </c>
      <c r="B600" s="542"/>
      <c r="C600" s="655"/>
      <c r="D600" s="563"/>
      <c r="E600" s="542"/>
      <c r="F600" s="645"/>
      <c r="G600" s="645"/>
      <c r="H600" s="542"/>
      <c r="I600" s="646"/>
      <c r="L600" s="676"/>
      <c r="M600" s="676"/>
      <c r="N600" s="676"/>
      <c r="O600" s="591" t="str">
        <f>"Page "&amp;SUM(Q$3:Q600)&amp;" of "</f>
        <v xml:space="preserve">Page 8 of </v>
      </c>
      <c r="P600" s="592">
        <f>COUNT(Q$8:Q$58212)</f>
        <v>23</v>
      </c>
      <c r="Q600" s="756">
        <v>1</v>
      </c>
    </row>
    <row r="601" spans="1:17">
      <c r="B601" s="542"/>
      <c r="C601" s="542"/>
      <c r="D601" s="563"/>
      <c r="E601" s="542"/>
      <c r="F601" s="542"/>
      <c r="G601" s="542"/>
      <c r="H601" s="542"/>
      <c r="I601" s="646"/>
      <c r="J601" s="542"/>
      <c r="K601" s="588"/>
      <c r="Q601" s="588"/>
    </row>
    <row r="602" spans="1:17" ht="18">
      <c r="B602" s="595" t="s">
        <v>174</v>
      </c>
      <c r="C602" s="677" t="s">
        <v>290</v>
      </c>
      <c r="D602" s="563"/>
      <c r="E602" s="542"/>
      <c r="F602" s="542"/>
      <c r="G602" s="542"/>
      <c r="H602" s="542"/>
      <c r="I602" s="646"/>
      <c r="J602" s="646"/>
      <c r="K602" s="669"/>
      <c r="L602" s="646"/>
      <c r="M602" s="646"/>
      <c r="N602" s="646"/>
      <c r="O602" s="646"/>
      <c r="Q602" s="669"/>
    </row>
    <row r="603" spans="1:17" ht="18.75">
      <c r="B603" s="595"/>
      <c r="C603" s="594"/>
      <c r="D603" s="563"/>
      <c r="E603" s="542"/>
      <c r="F603" s="542"/>
      <c r="G603" s="542"/>
      <c r="H603" s="542"/>
      <c r="I603" s="646"/>
      <c r="J603" s="646"/>
      <c r="K603" s="669"/>
      <c r="L603" s="646"/>
      <c r="M603" s="646"/>
      <c r="N603" s="646"/>
      <c r="O603" s="646"/>
      <c r="Q603" s="669"/>
    </row>
    <row r="604" spans="1:17" ht="18.75">
      <c r="B604" s="595"/>
      <c r="C604" s="594" t="s">
        <v>291</v>
      </c>
      <c r="D604" s="563"/>
      <c r="E604" s="542"/>
      <c r="F604" s="542"/>
      <c r="G604" s="542"/>
      <c r="H604" s="542"/>
      <c r="I604" s="646"/>
      <c r="J604" s="646"/>
      <c r="K604" s="669"/>
      <c r="L604" s="646"/>
      <c r="M604" s="646"/>
      <c r="N604" s="646"/>
      <c r="O604" s="646"/>
      <c r="Q604" s="669"/>
    </row>
    <row r="605" spans="1:17" ht="15.75" thickBot="1">
      <c r="B605" s="330"/>
      <c r="C605" s="396"/>
      <c r="D605" s="563"/>
      <c r="E605" s="542"/>
      <c r="F605" s="542"/>
      <c r="G605" s="542"/>
      <c r="H605" s="542"/>
      <c r="I605" s="646"/>
      <c r="J605" s="646"/>
      <c r="K605" s="669"/>
      <c r="L605" s="646"/>
      <c r="M605" s="646"/>
      <c r="N605" s="646"/>
      <c r="O605" s="646"/>
      <c r="Q605" s="669"/>
    </row>
    <row r="606" spans="1:17" ht="15.75">
      <c r="B606" s="330"/>
      <c r="C606" s="596" t="s">
        <v>292</v>
      </c>
      <c r="D606" s="563"/>
      <c r="E606" s="542"/>
      <c r="F606" s="542"/>
      <c r="G606" s="542"/>
      <c r="H606" s="864"/>
      <c r="I606" s="542" t="s">
        <v>271</v>
      </c>
      <c r="J606" s="542"/>
      <c r="K606" s="588"/>
      <c r="L606" s="757">
        <f>+J612</f>
        <v>2021</v>
      </c>
      <c r="M606" s="739" t="s">
        <v>254</v>
      </c>
      <c r="N606" s="739" t="s">
        <v>255</v>
      </c>
      <c r="O606" s="740" t="s">
        <v>256</v>
      </c>
      <c r="Q606" s="588"/>
    </row>
    <row r="607" spans="1:17" ht="15.75">
      <c r="B607" s="330"/>
      <c r="C607" s="596"/>
      <c r="D607" s="563"/>
      <c r="E607" s="542"/>
      <c r="F607" s="542"/>
      <c r="H607" s="542"/>
      <c r="I607" s="681"/>
      <c r="J607" s="681"/>
      <c r="K607" s="682"/>
      <c r="L607" s="758" t="s">
        <v>455</v>
      </c>
      <c r="M607" s="759">
        <f>VLOOKUP(J612,C619:P678,10)</f>
        <v>565533.65505527263</v>
      </c>
      <c r="N607" s="759">
        <f>VLOOKUP(J612,C619:P678,12)</f>
        <v>565533.65505527263</v>
      </c>
      <c r="O607" s="760">
        <f>+N607-M607</f>
        <v>0</v>
      </c>
      <c r="Q607" s="682"/>
    </row>
    <row r="608" spans="1:17">
      <c r="B608" s="330"/>
      <c r="C608" s="684" t="s">
        <v>293</v>
      </c>
      <c r="D608" s="1712" t="s">
        <v>940</v>
      </c>
      <c r="E608" s="1713"/>
      <c r="F608" s="1713"/>
      <c r="G608" s="1713"/>
      <c r="H608" s="1713"/>
      <c r="I608" s="1713"/>
      <c r="J608" s="646"/>
      <c r="K608" s="669"/>
      <c r="L608" s="758" t="s">
        <v>456</v>
      </c>
      <c r="M608" s="761">
        <f>VLOOKUP(J612,C619:P678,6)</f>
        <v>598836.56383329595</v>
      </c>
      <c r="N608" s="761">
        <f>VLOOKUP(J612,C619:P678,7)</f>
        <v>598836.56383329595</v>
      </c>
      <c r="O608" s="762">
        <f>+N608-M608</f>
        <v>0</v>
      </c>
      <c r="Q608" s="669"/>
    </row>
    <row r="609" spans="1:17" ht="13.5" thickBot="1">
      <c r="B609" s="330"/>
      <c r="C609" s="686"/>
      <c r="D609" s="1713"/>
      <c r="E609" s="1713"/>
      <c r="F609" s="1713"/>
      <c r="G609" s="1713"/>
      <c r="H609" s="1713"/>
      <c r="I609" s="1713"/>
      <c r="J609" s="646"/>
      <c r="K609" s="669"/>
      <c r="L609" s="705" t="s">
        <v>457</v>
      </c>
      <c r="M609" s="763">
        <f>+M608-M607</f>
        <v>33302.908778023324</v>
      </c>
      <c r="N609" s="763">
        <f>+N608-N607</f>
        <v>33302.908778023324</v>
      </c>
      <c r="O609" s="764">
        <f>+O608-O607</f>
        <v>0</v>
      </c>
      <c r="Q609" s="669"/>
    </row>
    <row r="610" spans="1:17" ht="13.5" thickBot="1">
      <c r="B610" s="330"/>
      <c r="C610" s="689"/>
      <c r="D610" s="690"/>
      <c r="E610" s="688"/>
      <c r="F610" s="688"/>
      <c r="G610" s="688"/>
      <c r="H610" s="688"/>
      <c r="I610" s="688"/>
      <c r="J610" s="688"/>
      <c r="K610" s="691"/>
      <c r="L610" s="688"/>
      <c r="M610" s="688"/>
      <c r="N610" s="688"/>
      <c r="O610" s="688"/>
      <c r="P610" s="576"/>
      <c r="Q610" s="691"/>
    </row>
    <row r="611" spans="1:17" ht="13.5" thickBot="1">
      <c r="B611" s="330"/>
      <c r="C611" s="692" t="s">
        <v>294</v>
      </c>
      <c r="D611" s="693"/>
      <c r="E611" s="693"/>
      <c r="F611" s="693"/>
      <c r="G611" s="693"/>
      <c r="H611" s="693"/>
      <c r="I611" s="693"/>
      <c r="J611" s="693"/>
      <c r="K611" s="695"/>
      <c r="P611" s="696"/>
      <c r="Q611" s="695"/>
    </row>
    <row r="612" spans="1:17" ht="15">
      <c r="A612" s="1310"/>
      <c r="B612" s="330"/>
      <c r="C612" s="697" t="s">
        <v>272</v>
      </c>
      <c r="D612" s="1253">
        <v>4008039.75</v>
      </c>
      <c r="E612" s="655" t="s">
        <v>273</v>
      </c>
      <c r="H612" s="698"/>
      <c r="I612" s="698"/>
      <c r="J612" s="1451">
        <f>$J$95</f>
        <v>2021</v>
      </c>
      <c r="K612" s="586"/>
      <c r="L612" s="1717" t="s">
        <v>274</v>
      </c>
      <c r="M612" s="1717"/>
      <c r="N612" s="1717"/>
      <c r="O612" s="1717"/>
      <c r="P612" s="588"/>
      <c r="Q612" s="586"/>
    </row>
    <row r="613" spans="1:17">
      <c r="A613" s="1310"/>
      <c r="B613" s="330"/>
      <c r="C613" s="697" t="s">
        <v>275</v>
      </c>
      <c r="D613" s="865">
        <v>2013</v>
      </c>
      <c r="E613" s="697" t="s">
        <v>276</v>
      </c>
      <c r="F613" s="698"/>
      <c r="G613" s="698"/>
      <c r="I613" s="330"/>
      <c r="J613" s="867">
        <v>0</v>
      </c>
      <c r="K613" s="700"/>
      <c r="L613" s="669" t="s">
        <v>475</v>
      </c>
      <c r="P613" s="588"/>
      <c r="Q613" s="700"/>
    </row>
    <row r="614" spans="1:17">
      <c r="A614" s="1310"/>
      <c r="B614" s="330"/>
      <c r="C614" s="697" t="s">
        <v>277</v>
      </c>
      <c r="D614" s="1253">
        <v>10</v>
      </c>
      <c r="E614" s="697" t="s">
        <v>278</v>
      </c>
      <c r="F614" s="698"/>
      <c r="G614" s="698"/>
      <c r="I614" s="330"/>
      <c r="J614" s="701">
        <f>$F$70</f>
        <v>0.15341253840442806</v>
      </c>
      <c r="K614" s="702"/>
      <c r="L614" s="542" t="str">
        <f>"          INPUT TRUE-UP ARR (WITH &amp; WITHOUT INCENTIVES) FROM EACH PRIOR YEAR"</f>
        <v xml:space="preserve">          INPUT TRUE-UP ARR (WITH &amp; WITHOUT INCENTIVES) FROM EACH PRIOR YEAR</v>
      </c>
      <c r="P614" s="588"/>
      <c r="Q614" s="702"/>
    </row>
    <row r="615" spans="1:17">
      <c r="A615" s="1310"/>
      <c r="B615" s="330"/>
      <c r="C615" s="697" t="s">
        <v>279</v>
      </c>
      <c r="D615" s="703">
        <f>H79</f>
        <v>44</v>
      </c>
      <c r="E615" s="697" t="s">
        <v>280</v>
      </c>
      <c r="F615" s="698"/>
      <c r="G615" s="698"/>
      <c r="I615" s="330"/>
      <c r="J615" s="701">
        <f>IF(H606="",J614,$F$69)</f>
        <v>0.15341253840442806</v>
      </c>
      <c r="K615" s="704"/>
      <c r="L615" s="542" t="s">
        <v>362</v>
      </c>
      <c r="M615" s="704"/>
      <c r="N615" s="704"/>
      <c r="O615" s="704"/>
      <c r="P615" s="588"/>
      <c r="Q615" s="704"/>
    </row>
    <row r="616" spans="1:17" ht="13.5" thickBot="1">
      <c r="A616" s="1310"/>
      <c r="B616" s="330"/>
      <c r="C616" s="697" t="s">
        <v>281</v>
      </c>
      <c r="D616" s="866" t="s">
        <v>933</v>
      </c>
      <c r="E616" s="705" t="s">
        <v>282</v>
      </c>
      <c r="F616" s="706"/>
      <c r="G616" s="706"/>
      <c r="H616" s="707"/>
      <c r="I616" s="707"/>
      <c r="J616" s="685">
        <f>IF(D612=0,0,D612/D615)</f>
        <v>91091.8125</v>
      </c>
      <c r="K616" s="669"/>
      <c r="L616" s="669" t="s">
        <v>363</v>
      </c>
      <c r="M616" s="669"/>
      <c r="N616" s="669"/>
      <c r="O616" s="669"/>
      <c r="P616" s="588"/>
      <c r="Q616" s="669"/>
    </row>
    <row r="617" spans="1:17" ht="38.25">
      <c r="A617" s="529"/>
      <c r="B617" s="529"/>
      <c r="C617" s="708" t="s">
        <v>272</v>
      </c>
      <c r="D617" s="709" t="s">
        <v>283</v>
      </c>
      <c r="E617" s="710" t="s">
        <v>284</v>
      </c>
      <c r="F617" s="709" t="s">
        <v>285</v>
      </c>
      <c r="G617" s="709" t="s">
        <v>458</v>
      </c>
      <c r="H617" s="710" t="s">
        <v>356</v>
      </c>
      <c r="I617" s="711" t="s">
        <v>356</v>
      </c>
      <c r="J617" s="708" t="s">
        <v>295</v>
      </c>
      <c r="K617" s="712"/>
      <c r="L617" s="710" t="s">
        <v>358</v>
      </c>
      <c r="M617" s="710" t="s">
        <v>364</v>
      </c>
      <c r="N617" s="710" t="s">
        <v>358</v>
      </c>
      <c r="O617" s="710" t="s">
        <v>366</v>
      </c>
      <c r="P617" s="710" t="s">
        <v>286</v>
      </c>
      <c r="Q617" s="713"/>
    </row>
    <row r="618" spans="1:17" ht="13.5" thickBot="1">
      <c r="B618" s="330"/>
      <c r="C618" s="714" t="s">
        <v>177</v>
      </c>
      <c r="D618" s="715" t="s">
        <v>178</v>
      </c>
      <c r="E618" s="714" t="s">
        <v>37</v>
      </c>
      <c r="F618" s="715" t="s">
        <v>178</v>
      </c>
      <c r="G618" s="715" t="s">
        <v>178</v>
      </c>
      <c r="H618" s="716" t="s">
        <v>298</v>
      </c>
      <c r="I618" s="717" t="s">
        <v>300</v>
      </c>
      <c r="J618" s="718" t="s">
        <v>389</v>
      </c>
      <c r="K618" s="719"/>
      <c r="L618" s="716" t="s">
        <v>287</v>
      </c>
      <c r="M618" s="716" t="s">
        <v>287</v>
      </c>
      <c r="N618" s="716" t="s">
        <v>467</v>
      </c>
      <c r="O618" s="716" t="s">
        <v>467</v>
      </c>
      <c r="P618" s="716" t="s">
        <v>467</v>
      </c>
      <c r="Q618" s="586"/>
    </row>
    <row r="619" spans="1:17">
      <c r="B619" s="330"/>
      <c r="C619" s="720">
        <f>IF(D613= "","-",D613)</f>
        <v>2013</v>
      </c>
      <c r="D619" s="673">
        <f>+D612</f>
        <v>4008039.75</v>
      </c>
      <c r="E619" s="721">
        <f>+J616/12*(12-D614)</f>
        <v>15181.96875</v>
      </c>
      <c r="F619" s="765">
        <f t="shared" ref="F619:F678" si="56">+D619-E619</f>
        <v>3992857.78125</v>
      </c>
      <c r="G619" s="673">
        <f t="shared" ref="G619:G678" si="57">+(D619+F619)/2</f>
        <v>4000448.765625</v>
      </c>
      <c r="H619" s="722">
        <f>+J614*G619+E619</f>
        <v>628900.96864139219</v>
      </c>
      <c r="I619" s="723">
        <f>+J615*G619+E619</f>
        <v>628900.96864139219</v>
      </c>
      <c r="J619" s="724">
        <f t="shared" ref="J619:J678" si="58">+I619-H619</f>
        <v>0</v>
      </c>
      <c r="K619" s="724"/>
      <c r="L619" s="728">
        <v>9.9999999999999995E-7</v>
      </c>
      <c r="M619" s="766">
        <f t="shared" ref="M619:M678" si="59">IF(L619&lt;&gt;0,+H619-L619,0)</f>
        <v>628900.96864039218</v>
      </c>
      <c r="N619" s="728">
        <v>9.9999999999999995E-7</v>
      </c>
      <c r="O619" s="766">
        <f t="shared" ref="O619:O678" si="60">IF(N619&lt;&gt;0,+I619-N619,0)</f>
        <v>628900.96864039218</v>
      </c>
      <c r="P619" s="766">
        <f t="shared" ref="P619:P678" si="61">+O619-M619</f>
        <v>0</v>
      </c>
      <c r="Q619" s="674"/>
    </row>
    <row r="620" spans="1:17">
      <c r="B620" s="330"/>
      <c r="C620" s="720">
        <f>IF(D613="","-",+C619+1)</f>
        <v>2014</v>
      </c>
      <c r="D620" s="673">
        <f t="shared" ref="D620:D678" si="62">F619</f>
        <v>3992857.78125</v>
      </c>
      <c r="E620" s="726">
        <f>IF(D620&gt;$J$616,$J$616,D620)</f>
        <v>91091.8125</v>
      </c>
      <c r="F620" s="726">
        <f t="shared" si="56"/>
        <v>3901765.96875</v>
      </c>
      <c r="G620" s="673">
        <f t="shared" si="57"/>
        <v>3947311.875</v>
      </c>
      <c r="H620" s="721">
        <f>+J614*G620+E620</f>
        <v>696658.94711769244</v>
      </c>
      <c r="I620" s="727">
        <f>+J615*G620+E620</f>
        <v>696658.94711769244</v>
      </c>
      <c r="J620" s="724">
        <f t="shared" si="58"/>
        <v>0</v>
      </c>
      <c r="K620" s="724"/>
      <c r="L620" s="728">
        <v>7389952</v>
      </c>
      <c r="M620" s="724">
        <f t="shared" si="59"/>
        <v>-6693293.0528823072</v>
      </c>
      <c r="N620" s="728">
        <v>7389952</v>
      </c>
      <c r="O620" s="724">
        <f t="shared" si="60"/>
        <v>-6693293.0528823072</v>
      </c>
      <c r="P620" s="724">
        <f t="shared" si="61"/>
        <v>0</v>
      </c>
      <c r="Q620" s="674"/>
    </row>
    <row r="621" spans="1:17">
      <c r="B621" s="330"/>
      <c r="C621" s="720">
        <f>IF(D613="","-",+C620+1)</f>
        <v>2015</v>
      </c>
      <c r="D621" s="673">
        <f t="shared" si="62"/>
        <v>3901765.96875</v>
      </c>
      <c r="E621" s="726">
        <f t="shared" ref="E621:E678" si="63">IF(D621&gt;$J$616,$J$616,D621)</f>
        <v>91091.8125</v>
      </c>
      <c r="F621" s="726">
        <f t="shared" si="56"/>
        <v>3810674.15625</v>
      </c>
      <c r="G621" s="673">
        <f t="shared" si="57"/>
        <v>3856220.0625</v>
      </c>
      <c r="H621" s="721">
        <f>+J614*G621+E621</f>
        <v>682684.32093420718</v>
      </c>
      <c r="I621" s="727">
        <f>+J615*G621+E621</f>
        <v>682684.32093420718</v>
      </c>
      <c r="J621" s="724">
        <f t="shared" si="58"/>
        <v>0</v>
      </c>
      <c r="K621" s="724"/>
      <c r="L621" s="728">
        <v>583939</v>
      </c>
      <c r="M621" s="724">
        <f t="shared" si="59"/>
        <v>98745.320934207179</v>
      </c>
      <c r="N621" s="728">
        <v>583939</v>
      </c>
      <c r="O621" s="724">
        <f t="shared" si="60"/>
        <v>98745.320934207179</v>
      </c>
      <c r="P621" s="724">
        <f t="shared" si="61"/>
        <v>0</v>
      </c>
      <c r="Q621" s="674"/>
    </row>
    <row r="622" spans="1:17">
      <c r="B622" s="330"/>
      <c r="C622" s="720">
        <f>IF(D613="","-",+C621+1)</f>
        <v>2016</v>
      </c>
      <c r="D622" s="673">
        <f t="shared" si="62"/>
        <v>3810674.15625</v>
      </c>
      <c r="E622" s="726">
        <f t="shared" si="63"/>
        <v>91091.8125</v>
      </c>
      <c r="F622" s="726">
        <f t="shared" si="56"/>
        <v>3719582.34375</v>
      </c>
      <c r="G622" s="673">
        <f t="shared" si="57"/>
        <v>3765128.25</v>
      </c>
      <c r="H622" s="721">
        <f>+J614*G622+E622</f>
        <v>668709.69475072203</v>
      </c>
      <c r="I622" s="727">
        <f>+J615*G622+E622</f>
        <v>668709.69475072203</v>
      </c>
      <c r="J622" s="724">
        <f t="shared" si="58"/>
        <v>0</v>
      </c>
      <c r="K622" s="724"/>
      <c r="L622" s="728">
        <v>662503</v>
      </c>
      <c r="M622" s="724">
        <f t="shared" si="59"/>
        <v>6206.694750722032</v>
      </c>
      <c r="N622" s="728">
        <v>662503</v>
      </c>
      <c r="O622" s="724">
        <f t="shared" si="60"/>
        <v>6206.694750722032</v>
      </c>
      <c r="P622" s="724">
        <f t="shared" si="61"/>
        <v>0</v>
      </c>
      <c r="Q622" s="674"/>
    </row>
    <row r="623" spans="1:17">
      <c r="B623" s="330"/>
      <c r="C623" s="720">
        <f>IF(D613="","-",+C622+1)</f>
        <v>2017</v>
      </c>
      <c r="D623" s="673">
        <f t="shared" si="62"/>
        <v>3719582.34375</v>
      </c>
      <c r="E623" s="726">
        <f t="shared" si="63"/>
        <v>91091.8125</v>
      </c>
      <c r="F623" s="726">
        <f t="shared" si="56"/>
        <v>3628490.53125</v>
      </c>
      <c r="G623" s="673">
        <f t="shared" si="57"/>
        <v>3674036.4375</v>
      </c>
      <c r="H623" s="721">
        <f>+J614*G623+E623</f>
        <v>654735.06856723677</v>
      </c>
      <c r="I623" s="727">
        <f>+J615*G623+E623</f>
        <v>654735.06856723677</v>
      </c>
      <c r="J623" s="724">
        <f t="shared" si="58"/>
        <v>0</v>
      </c>
      <c r="K623" s="724"/>
      <c r="L623" s="728">
        <v>750034</v>
      </c>
      <c r="M623" s="724">
        <f t="shared" si="59"/>
        <v>-95298.931432763231</v>
      </c>
      <c r="N623" s="728">
        <v>750034</v>
      </c>
      <c r="O623" s="724">
        <f t="shared" si="60"/>
        <v>-95298.931432763231</v>
      </c>
      <c r="P623" s="724">
        <f t="shared" si="61"/>
        <v>0</v>
      </c>
      <c r="Q623" s="674"/>
    </row>
    <row r="624" spans="1:17">
      <c r="B624" s="330"/>
      <c r="C624" s="720">
        <f>IF(D613="","-",+C623+1)</f>
        <v>2018</v>
      </c>
      <c r="D624" s="1455">
        <f t="shared" si="62"/>
        <v>3628490.53125</v>
      </c>
      <c r="E624" s="726">
        <f t="shared" si="63"/>
        <v>91091.8125</v>
      </c>
      <c r="F624" s="726">
        <f t="shared" si="56"/>
        <v>3537398.71875</v>
      </c>
      <c r="G624" s="673">
        <f t="shared" si="57"/>
        <v>3582944.625</v>
      </c>
      <c r="H624" s="721">
        <f>+J614*G624+E624</f>
        <v>640760.44238375162</v>
      </c>
      <c r="I624" s="727">
        <f>+J615*G624+E624</f>
        <v>640760.44238375162</v>
      </c>
      <c r="J624" s="724">
        <f t="shared" si="58"/>
        <v>0</v>
      </c>
      <c r="K624" s="724"/>
      <c r="L624" s="728">
        <v>633061</v>
      </c>
      <c r="M624" s="724">
        <f t="shared" si="59"/>
        <v>7699.4423837516224</v>
      </c>
      <c r="N624" s="728">
        <v>633061</v>
      </c>
      <c r="O624" s="724">
        <f t="shared" si="60"/>
        <v>7699.4423837516224</v>
      </c>
      <c r="P624" s="724">
        <f t="shared" si="61"/>
        <v>0</v>
      </c>
      <c r="Q624" s="674"/>
    </row>
    <row r="625" spans="2:17">
      <c r="B625" s="330"/>
      <c r="C625" s="720">
        <f>IF(D613="","-",+C624+1)</f>
        <v>2019</v>
      </c>
      <c r="D625" s="1269">
        <f t="shared" si="62"/>
        <v>3537398.71875</v>
      </c>
      <c r="E625" s="726">
        <f t="shared" si="63"/>
        <v>91091.8125</v>
      </c>
      <c r="F625" s="726">
        <f t="shared" si="56"/>
        <v>3446306.90625</v>
      </c>
      <c r="G625" s="673">
        <f t="shared" si="57"/>
        <v>3491852.8125</v>
      </c>
      <c r="H625" s="721">
        <f>+J614*G625+E625</f>
        <v>626785.81620026636</v>
      </c>
      <c r="I625" s="727">
        <f>+J615*G625+E625</f>
        <v>626785.81620026636</v>
      </c>
      <c r="J625" s="724">
        <f t="shared" si="58"/>
        <v>0</v>
      </c>
      <c r="K625" s="724"/>
      <c r="L625" s="1452">
        <v>682446</v>
      </c>
      <c r="M625" s="724">
        <f t="shared" si="59"/>
        <v>-55660.183799733641</v>
      </c>
      <c r="N625" s="1452">
        <v>682446</v>
      </c>
      <c r="O625" s="724">
        <f t="shared" si="60"/>
        <v>-55660.183799733641</v>
      </c>
      <c r="P625" s="724">
        <f t="shared" si="61"/>
        <v>0</v>
      </c>
      <c r="Q625" s="674"/>
    </row>
    <row r="626" spans="2:17">
      <c r="B626" s="330"/>
      <c r="C626" s="720">
        <f>IF(D613="","-",+C625+1)</f>
        <v>2020</v>
      </c>
      <c r="D626" s="673">
        <f t="shared" si="62"/>
        <v>3446306.90625</v>
      </c>
      <c r="E626" s="726">
        <f t="shared" si="63"/>
        <v>91091.8125</v>
      </c>
      <c r="F626" s="726">
        <f t="shared" si="56"/>
        <v>3355215.09375</v>
      </c>
      <c r="G626" s="673">
        <f t="shared" si="57"/>
        <v>3400761</v>
      </c>
      <c r="H626" s="721">
        <f>+J614*G626+E626</f>
        <v>612811.19001678121</v>
      </c>
      <c r="I626" s="727">
        <f>+J615*G626+E626</f>
        <v>612811.19001678121</v>
      </c>
      <c r="J626" s="724">
        <f t="shared" si="58"/>
        <v>0</v>
      </c>
      <c r="K626" s="724"/>
      <c r="L626" s="728">
        <v>597310.8471863796</v>
      </c>
      <c r="M626" s="724">
        <f t="shared" si="59"/>
        <v>15500.342830401612</v>
      </c>
      <c r="N626" s="1548">
        <v>597310.8471863796</v>
      </c>
      <c r="O626" s="724">
        <f t="shared" si="60"/>
        <v>15500.342830401612</v>
      </c>
      <c r="P626" s="724">
        <f t="shared" si="61"/>
        <v>0</v>
      </c>
      <c r="Q626" s="674"/>
    </row>
    <row r="627" spans="2:17">
      <c r="B627" s="330"/>
      <c r="C627" s="720">
        <f>IF(D613="","-",+C626+1)</f>
        <v>2021</v>
      </c>
      <c r="D627" s="673">
        <f t="shared" si="62"/>
        <v>3355215.09375</v>
      </c>
      <c r="E627" s="726">
        <f t="shared" si="63"/>
        <v>91091.8125</v>
      </c>
      <c r="F627" s="726">
        <f t="shared" si="56"/>
        <v>3264123.28125</v>
      </c>
      <c r="G627" s="673">
        <f t="shared" si="57"/>
        <v>3309669.1875</v>
      </c>
      <c r="H627" s="721">
        <f>+J614*G627+E627</f>
        <v>598836.56383329595</v>
      </c>
      <c r="I627" s="727">
        <f>+J615*G627+E627</f>
        <v>598836.56383329595</v>
      </c>
      <c r="J627" s="724">
        <f t="shared" si="58"/>
        <v>0</v>
      </c>
      <c r="K627" s="724"/>
      <c r="L627" s="728">
        <v>565533.65505527263</v>
      </c>
      <c r="M627" s="724">
        <f t="shared" si="59"/>
        <v>33302.908778023324</v>
      </c>
      <c r="N627" s="1548">
        <v>565533.65505527263</v>
      </c>
      <c r="O627" s="724">
        <f t="shared" si="60"/>
        <v>33302.908778023324</v>
      </c>
      <c r="P627" s="724">
        <f t="shared" si="61"/>
        <v>0</v>
      </c>
      <c r="Q627" s="674"/>
    </row>
    <row r="628" spans="2:17">
      <c r="B628" s="330"/>
      <c r="C628" s="1291">
        <f>IF(D613="","-",+C627+1)</f>
        <v>2022</v>
      </c>
      <c r="D628" s="673">
        <f t="shared" si="62"/>
        <v>3264123.28125</v>
      </c>
      <c r="E628" s="726">
        <f t="shared" si="63"/>
        <v>91091.8125</v>
      </c>
      <c r="F628" s="726">
        <f t="shared" si="56"/>
        <v>3173031.46875</v>
      </c>
      <c r="G628" s="673">
        <f t="shared" si="57"/>
        <v>3218577.375</v>
      </c>
      <c r="H628" s="721">
        <f>+J614*G628+E628</f>
        <v>584861.93764981069</v>
      </c>
      <c r="I628" s="727">
        <f>+J615*G628+E628</f>
        <v>584861.93764981069</v>
      </c>
      <c r="J628" s="724">
        <f t="shared" si="58"/>
        <v>0</v>
      </c>
      <c r="K628" s="724"/>
      <c r="L628" s="728">
        <v>0</v>
      </c>
      <c r="M628" s="724">
        <f t="shared" si="59"/>
        <v>0</v>
      </c>
      <c r="N628" s="728">
        <v>0</v>
      </c>
      <c r="O628" s="724">
        <f t="shared" si="60"/>
        <v>0</v>
      </c>
      <c r="P628" s="724">
        <f t="shared" si="61"/>
        <v>0</v>
      </c>
      <c r="Q628" s="674"/>
    </row>
    <row r="629" spans="2:17">
      <c r="B629" s="330"/>
      <c r="C629" s="720">
        <f>IF(D613="","-",+C628+1)</f>
        <v>2023</v>
      </c>
      <c r="D629" s="673">
        <f t="shared" si="62"/>
        <v>3173031.46875</v>
      </c>
      <c r="E629" s="726">
        <f t="shared" si="63"/>
        <v>91091.8125</v>
      </c>
      <c r="F629" s="726">
        <f t="shared" si="56"/>
        <v>3081939.65625</v>
      </c>
      <c r="G629" s="673">
        <f t="shared" si="57"/>
        <v>3127485.5625</v>
      </c>
      <c r="H629" s="721">
        <f>+J614*G629+E629</f>
        <v>570887.31146632554</v>
      </c>
      <c r="I629" s="727">
        <f>+J615*G629+E629</f>
        <v>570887.31146632554</v>
      </c>
      <c r="J629" s="724">
        <f t="shared" si="58"/>
        <v>0</v>
      </c>
      <c r="K629" s="724"/>
      <c r="L629" s="728"/>
      <c r="M629" s="724">
        <f t="shared" si="59"/>
        <v>0</v>
      </c>
      <c r="N629" s="728"/>
      <c r="O629" s="724">
        <f t="shared" si="60"/>
        <v>0</v>
      </c>
      <c r="P629" s="724">
        <f t="shared" si="61"/>
        <v>0</v>
      </c>
      <c r="Q629" s="674"/>
    </row>
    <row r="630" spans="2:17">
      <c r="B630" s="330"/>
      <c r="C630" s="720">
        <f>IF(D613="","-",+C629+1)</f>
        <v>2024</v>
      </c>
      <c r="D630" s="673">
        <f t="shared" si="62"/>
        <v>3081939.65625</v>
      </c>
      <c r="E630" s="726">
        <f t="shared" si="63"/>
        <v>91091.8125</v>
      </c>
      <c r="F630" s="726">
        <f t="shared" si="56"/>
        <v>2990847.84375</v>
      </c>
      <c r="G630" s="673">
        <f t="shared" si="57"/>
        <v>3036393.75</v>
      </c>
      <c r="H630" s="721">
        <f>+J614*G630+E630</f>
        <v>556912.68528284039</v>
      </c>
      <c r="I630" s="727">
        <f>+J615*G630+E630</f>
        <v>556912.68528284039</v>
      </c>
      <c r="J630" s="724">
        <f t="shared" si="58"/>
        <v>0</v>
      </c>
      <c r="K630" s="724"/>
      <c r="L630" s="728"/>
      <c r="M630" s="724">
        <f t="shared" si="59"/>
        <v>0</v>
      </c>
      <c r="N630" s="728"/>
      <c r="O630" s="724">
        <f t="shared" si="60"/>
        <v>0</v>
      </c>
      <c r="P630" s="724">
        <f t="shared" si="61"/>
        <v>0</v>
      </c>
      <c r="Q630" s="674"/>
    </row>
    <row r="631" spans="2:17">
      <c r="B631" s="330"/>
      <c r="C631" s="720">
        <f>IF(D613="","-",+C630+1)</f>
        <v>2025</v>
      </c>
      <c r="D631" s="673">
        <f t="shared" si="62"/>
        <v>2990847.84375</v>
      </c>
      <c r="E631" s="726">
        <f t="shared" si="63"/>
        <v>91091.8125</v>
      </c>
      <c r="F631" s="726">
        <f t="shared" si="56"/>
        <v>2899756.03125</v>
      </c>
      <c r="G631" s="673">
        <f t="shared" si="57"/>
        <v>2945301.9375</v>
      </c>
      <c r="H631" s="721">
        <f>+J614*G631+E631</f>
        <v>542938.05909935513</v>
      </c>
      <c r="I631" s="727">
        <f>+J615*G631+E631</f>
        <v>542938.05909935513</v>
      </c>
      <c r="J631" s="724">
        <f t="shared" si="58"/>
        <v>0</v>
      </c>
      <c r="K631" s="724"/>
      <c r="L631" s="728"/>
      <c r="M631" s="724">
        <f t="shared" si="59"/>
        <v>0</v>
      </c>
      <c r="N631" s="728"/>
      <c r="O631" s="724">
        <f t="shared" si="60"/>
        <v>0</v>
      </c>
      <c r="P631" s="724">
        <f t="shared" si="61"/>
        <v>0</v>
      </c>
      <c r="Q631" s="674"/>
    </row>
    <row r="632" spans="2:17">
      <c r="B632" s="330"/>
      <c r="C632" s="720">
        <f>IF(D613="","-",+C631+1)</f>
        <v>2026</v>
      </c>
      <c r="D632" s="673">
        <f t="shared" si="62"/>
        <v>2899756.03125</v>
      </c>
      <c r="E632" s="726">
        <f t="shared" si="63"/>
        <v>91091.8125</v>
      </c>
      <c r="F632" s="726">
        <f t="shared" si="56"/>
        <v>2808664.21875</v>
      </c>
      <c r="G632" s="673">
        <f t="shared" si="57"/>
        <v>2854210.125</v>
      </c>
      <c r="H632" s="721">
        <f>+J614*G632+E632</f>
        <v>528963.43291586987</v>
      </c>
      <c r="I632" s="727">
        <f>+J615*G632+E632</f>
        <v>528963.43291586987</v>
      </c>
      <c r="J632" s="724">
        <f t="shared" si="58"/>
        <v>0</v>
      </c>
      <c r="K632" s="724"/>
      <c r="L632" s="728"/>
      <c r="M632" s="724">
        <f t="shared" si="59"/>
        <v>0</v>
      </c>
      <c r="N632" s="728"/>
      <c r="O632" s="724">
        <f t="shared" si="60"/>
        <v>0</v>
      </c>
      <c r="P632" s="724">
        <f t="shared" si="61"/>
        <v>0</v>
      </c>
      <c r="Q632" s="674"/>
    </row>
    <row r="633" spans="2:17">
      <c r="B633" s="330"/>
      <c r="C633" s="720">
        <f>IF(D613="","-",+C632+1)</f>
        <v>2027</v>
      </c>
      <c r="D633" s="673">
        <f t="shared" si="62"/>
        <v>2808664.21875</v>
      </c>
      <c r="E633" s="726">
        <f t="shared" si="63"/>
        <v>91091.8125</v>
      </c>
      <c r="F633" s="726">
        <f t="shared" si="56"/>
        <v>2717572.40625</v>
      </c>
      <c r="G633" s="673">
        <f t="shared" si="57"/>
        <v>2763118.3125</v>
      </c>
      <c r="H633" s="721">
        <f>+J614*G633+E633</f>
        <v>514988.80673238472</v>
      </c>
      <c r="I633" s="727">
        <f>+J615*G633+E633</f>
        <v>514988.80673238472</v>
      </c>
      <c r="J633" s="724">
        <f t="shared" si="58"/>
        <v>0</v>
      </c>
      <c r="K633" s="724"/>
      <c r="L633" s="728"/>
      <c r="M633" s="724">
        <f t="shared" si="59"/>
        <v>0</v>
      </c>
      <c r="N633" s="728"/>
      <c r="O633" s="724">
        <f t="shared" si="60"/>
        <v>0</v>
      </c>
      <c r="P633" s="724">
        <f t="shared" si="61"/>
        <v>0</v>
      </c>
      <c r="Q633" s="674"/>
    </row>
    <row r="634" spans="2:17">
      <c r="B634" s="330"/>
      <c r="C634" s="720">
        <f>IF(D613="","-",+C633+1)</f>
        <v>2028</v>
      </c>
      <c r="D634" s="673">
        <f t="shared" si="62"/>
        <v>2717572.40625</v>
      </c>
      <c r="E634" s="726">
        <f t="shared" si="63"/>
        <v>91091.8125</v>
      </c>
      <c r="F634" s="726">
        <f t="shared" si="56"/>
        <v>2626480.59375</v>
      </c>
      <c r="G634" s="673">
        <f t="shared" si="57"/>
        <v>2672026.5</v>
      </c>
      <c r="H634" s="721">
        <f>+J614*G634+E634</f>
        <v>501014.18054889952</v>
      </c>
      <c r="I634" s="727">
        <f>+J615*G634+E634</f>
        <v>501014.18054889952</v>
      </c>
      <c r="J634" s="724">
        <f t="shared" si="58"/>
        <v>0</v>
      </c>
      <c r="K634" s="724"/>
      <c r="L634" s="728"/>
      <c r="M634" s="724">
        <f t="shared" si="59"/>
        <v>0</v>
      </c>
      <c r="N634" s="728"/>
      <c r="O634" s="724">
        <f t="shared" si="60"/>
        <v>0</v>
      </c>
      <c r="P634" s="724">
        <f t="shared" si="61"/>
        <v>0</v>
      </c>
      <c r="Q634" s="674"/>
    </row>
    <row r="635" spans="2:17">
      <c r="B635" s="330"/>
      <c r="C635" s="720">
        <f>IF(D613="","-",+C634+1)</f>
        <v>2029</v>
      </c>
      <c r="D635" s="673">
        <f t="shared" si="62"/>
        <v>2626480.59375</v>
      </c>
      <c r="E635" s="726">
        <f t="shared" si="63"/>
        <v>91091.8125</v>
      </c>
      <c r="F635" s="726">
        <f t="shared" si="56"/>
        <v>2535388.78125</v>
      </c>
      <c r="G635" s="673">
        <f t="shared" si="57"/>
        <v>2580934.6875</v>
      </c>
      <c r="H635" s="721">
        <f>+J614*G635+E635</f>
        <v>487039.55436541431</v>
      </c>
      <c r="I635" s="727">
        <f>+J615*G635+E635</f>
        <v>487039.55436541431</v>
      </c>
      <c r="J635" s="724">
        <f t="shared" si="58"/>
        <v>0</v>
      </c>
      <c r="K635" s="724"/>
      <c r="L635" s="728"/>
      <c r="M635" s="724">
        <f t="shared" si="59"/>
        <v>0</v>
      </c>
      <c r="N635" s="728"/>
      <c r="O635" s="724">
        <f t="shared" si="60"/>
        <v>0</v>
      </c>
      <c r="P635" s="724">
        <f t="shared" si="61"/>
        <v>0</v>
      </c>
      <c r="Q635" s="674"/>
    </row>
    <row r="636" spans="2:17">
      <c r="B636" s="330"/>
      <c r="C636" s="720">
        <f>IF(D613="","-",+C635+1)</f>
        <v>2030</v>
      </c>
      <c r="D636" s="673">
        <f t="shared" si="62"/>
        <v>2535388.78125</v>
      </c>
      <c r="E636" s="726">
        <f t="shared" si="63"/>
        <v>91091.8125</v>
      </c>
      <c r="F636" s="726">
        <f t="shared" si="56"/>
        <v>2444296.96875</v>
      </c>
      <c r="G636" s="673">
        <f t="shared" si="57"/>
        <v>2489842.875</v>
      </c>
      <c r="H636" s="721">
        <f>+J614*G636+E636</f>
        <v>473064.92818192911</v>
      </c>
      <c r="I636" s="727">
        <f>+J615*G636+E636</f>
        <v>473064.92818192911</v>
      </c>
      <c r="J636" s="724">
        <f t="shared" si="58"/>
        <v>0</v>
      </c>
      <c r="K636" s="724"/>
      <c r="L636" s="728"/>
      <c r="M636" s="724">
        <f t="shared" si="59"/>
        <v>0</v>
      </c>
      <c r="N636" s="728"/>
      <c r="O636" s="724">
        <f t="shared" si="60"/>
        <v>0</v>
      </c>
      <c r="P636" s="724">
        <f t="shared" si="61"/>
        <v>0</v>
      </c>
      <c r="Q636" s="674"/>
    </row>
    <row r="637" spans="2:17">
      <c r="B637" s="330"/>
      <c r="C637" s="720">
        <f>IF(D613="","-",+C636+1)</f>
        <v>2031</v>
      </c>
      <c r="D637" s="673">
        <f t="shared" si="62"/>
        <v>2444296.96875</v>
      </c>
      <c r="E637" s="726">
        <f t="shared" si="63"/>
        <v>91091.8125</v>
      </c>
      <c r="F637" s="726">
        <f t="shared" si="56"/>
        <v>2353205.15625</v>
      </c>
      <c r="G637" s="673">
        <f t="shared" si="57"/>
        <v>2398751.0625</v>
      </c>
      <c r="H637" s="721">
        <f>+J614*G637+E637</f>
        <v>459090.30199844384</v>
      </c>
      <c r="I637" s="727">
        <f>+J615*G637+E637</f>
        <v>459090.30199844384</v>
      </c>
      <c r="J637" s="724">
        <f t="shared" si="58"/>
        <v>0</v>
      </c>
      <c r="K637" s="724"/>
      <c r="L637" s="728"/>
      <c r="M637" s="724">
        <f t="shared" si="59"/>
        <v>0</v>
      </c>
      <c r="N637" s="728"/>
      <c r="O637" s="724">
        <f t="shared" si="60"/>
        <v>0</v>
      </c>
      <c r="P637" s="724">
        <f t="shared" si="61"/>
        <v>0</v>
      </c>
      <c r="Q637" s="674"/>
    </row>
    <row r="638" spans="2:17">
      <c r="B638" s="330"/>
      <c r="C638" s="720">
        <f>IF(D613="","-",+C637+1)</f>
        <v>2032</v>
      </c>
      <c r="D638" s="673">
        <f t="shared" si="62"/>
        <v>2353205.15625</v>
      </c>
      <c r="E638" s="726">
        <f t="shared" si="63"/>
        <v>91091.8125</v>
      </c>
      <c r="F638" s="726">
        <f t="shared" si="56"/>
        <v>2262113.34375</v>
      </c>
      <c r="G638" s="673">
        <f t="shared" si="57"/>
        <v>2307659.25</v>
      </c>
      <c r="H638" s="721">
        <f>+J614*G638+E638</f>
        <v>445115.67581495864</v>
      </c>
      <c r="I638" s="727">
        <f>+J615*G638+E638</f>
        <v>445115.67581495864</v>
      </c>
      <c r="J638" s="724">
        <f t="shared" si="58"/>
        <v>0</v>
      </c>
      <c r="K638" s="724"/>
      <c r="L638" s="728"/>
      <c r="M638" s="724">
        <f t="shared" si="59"/>
        <v>0</v>
      </c>
      <c r="N638" s="728"/>
      <c r="O638" s="724">
        <f t="shared" si="60"/>
        <v>0</v>
      </c>
      <c r="P638" s="724">
        <f t="shared" si="61"/>
        <v>0</v>
      </c>
      <c r="Q638" s="674"/>
    </row>
    <row r="639" spans="2:17">
      <c r="B639" s="330"/>
      <c r="C639" s="720">
        <f>IF(D613="","-",+C638+1)</f>
        <v>2033</v>
      </c>
      <c r="D639" s="673">
        <f t="shared" si="62"/>
        <v>2262113.34375</v>
      </c>
      <c r="E639" s="726">
        <f t="shared" si="63"/>
        <v>91091.8125</v>
      </c>
      <c r="F639" s="726">
        <f t="shared" si="56"/>
        <v>2171021.53125</v>
      </c>
      <c r="G639" s="673">
        <f t="shared" si="57"/>
        <v>2216567.4375</v>
      </c>
      <c r="H639" s="721">
        <f>+J614*G639+E639</f>
        <v>431141.04963147343</v>
      </c>
      <c r="I639" s="727">
        <f>+J615*G639+E639</f>
        <v>431141.04963147343</v>
      </c>
      <c r="J639" s="724">
        <f t="shared" si="58"/>
        <v>0</v>
      </c>
      <c r="K639" s="724"/>
      <c r="L639" s="728"/>
      <c r="M639" s="724">
        <f t="shared" si="59"/>
        <v>0</v>
      </c>
      <c r="N639" s="728"/>
      <c r="O639" s="724">
        <f t="shared" si="60"/>
        <v>0</v>
      </c>
      <c r="P639" s="724">
        <f t="shared" si="61"/>
        <v>0</v>
      </c>
      <c r="Q639" s="674"/>
    </row>
    <row r="640" spans="2:17">
      <c r="B640" s="330"/>
      <c r="C640" s="720">
        <f>IF(D613="","-",+C639+1)</f>
        <v>2034</v>
      </c>
      <c r="D640" s="673">
        <f t="shared" si="62"/>
        <v>2171021.53125</v>
      </c>
      <c r="E640" s="726">
        <f t="shared" si="63"/>
        <v>91091.8125</v>
      </c>
      <c r="F640" s="726">
        <f t="shared" si="56"/>
        <v>2079929.71875</v>
      </c>
      <c r="G640" s="673">
        <f t="shared" si="57"/>
        <v>2125475.625</v>
      </c>
      <c r="H640" s="721">
        <f>+J614*G640+E640</f>
        <v>417166.42344798823</v>
      </c>
      <c r="I640" s="727">
        <f>+J615*G640+E640</f>
        <v>417166.42344798823</v>
      </c>
      <c r="J640" s="724">
        <f t="shared" si="58"/>
        <v>0</v>
      </c>
      <c r="K640" s="724"/>
      <c r="L640" s="728"/>
      <c r="M640" s="724">
        <f t="shared" si="59"/>
        <v>0</v>
      </c>
      <c r="N640" s="728"/>
      <c r="O640" s="724">
        <f t="shared" si="60"/>
        <v>0</v>
      </c>
      <c r="P640" s="724">
        <f t="shared" si="61"/>
        <v>0</v>
      </c>
      <c r="Q640" s="674"/>
    </row>
    <row r="641" spans="2:17">
      <c r="B641" s="330"/>
      <c r="C641" s="720">
        <f>IF(D613="","-",+C640+1)</f>
        <v>2035</v>
      </c>
      <c r="D641" s="673">
        <f t="shared" si="62"/>
        <v>2079929.71875</v>
      </c>
      <c r="E641" s="726">
        <f t="shared" si="63"/>
        <v>91091.8125</v>
      </c>
      <c r="F641" s="726">
        <f t="shared" si="56"/>
        <v>1988837.90625</v>
      </c>
      <c r="G641" s="673">
        <f t="shared" si="57"/>
        <v>2034383.8125</v>
      </c>
      <c r="H641" s="721">
        <f>+J614*G641+E641</f>
        <v>403191.79726450302</v>
      </c>
      <c r="I641" s="727">
        <f>+J615*G641+E641</f>
        <v>403191.79726450302</v>
      </c>
      <c r="J641" s="724">
        <f t="shared" si="58"/>
        <v>0</v>
      </c>
      <c r="K641" s="724"/>
      <c r="L641" s="728"/>
      <c r="M641" s="724">
        <f t="shared" si="59"/>
        <v>0</v>
      </c>
      <c r="N641" s="728"/>
      <c r="O641" s="724">
        <f t="shared" si="60"/>
        <v>0</v>
      </c>
      <c r="P641" s="724">
        <f t="shared" si="61"/>
        <v>0</v>
      </c>
      <c r="Q641" s="674"/>
    </row>
    <row r="642" spans="2:17">
      <c r="B642" s="330"/>
      <c r="C642" s="720">
        <f>IF(D613="","-",+C641+1)</f>
        <v>2036</v>
      </c>
      <c r="D642" s="673">
        <f t="shared" si="62"/>
        <v>1988837.90625</v>
      </c>
      <c r="E642" s="726">
        <f t="shared" si="63"/>
        <v>91091.8125</v>
      </c>
      <c r="F642" s="726">
        <f t="shared" si="56"/>
        <v>1897746.09375</v>
      </c>
      <c r="G642" s="673">
        <f t="shared" si="57"/>
        <v>1943292</v>
      </c>
      <c r="H642" s="721">
        <f>+J614*G642+E642</f>
        <v>389217.17108101782</v>
      </c>
      <c r="I642" s="727">
        <f>+J615*G642+E642</f>
        <v>389217.17108101782</v>
      </c>
      <c r="J642" s="724">
        <f t="shared" si="58"/>
        <v>0</v>
      </c>
      <c r="K642" s="724"/>
      <c r="L642" s="728"/>
      <c r="M642" s="724">
        <f t="shared" si="59"/>
        <v>0</v>
      </c>
      <c r="N642" s="728"/>
      <c r="O642" s="724">
        <f t="shared" si="60"/>
        <v>0</v>
      </c>
      <c r="P642" s="724">
        <f t="shared" si="61"/>
        <v>0</v>
      </c>
      <c r="Q642" s="674"/>
    </row>
    <row r="643" spans="2:17">
      <c r="B643" s="330"/>
      <c r="C643" s="720">
        <f>IF(D613="","-",+C642+1)</f>
        <v>2037</v>
      </c>
      <c r="D643" s="673">
        <f t="shared" si="62"/>
        <v>1897746.09375</v>
      </c>
      <c r="E643" s="726">
        <f t="shared" si="63"/>
        <v>91091.8125</v>
      </c>
      <c r="F643" s="726">
        <f t="shared" si="56"/>
        <v>1806654.28125</v>
      </c>
      <c r="G643" s="673">
        <f t="shared" si="57"/>
        <v>1852200.1875</v>
      </c>
      <c r="H643" s="721">
        <f>+J614*G643+E643</f>
        <v>375242.54489753261</v>
      </c>
      <c r="I643" s="727">
        <f>+J615*G643+E643</f>
        <v>375242.54489753261</v>
      </c>
      <c r="J643" s="724">
        <f t="shared" si="58"/>
        <v>0</v>
      </c>
      <c r="K643" s="724"/>
      <c r="L643" s="728"/>
      <c r="M643" s="724">
        <f t="shared" si="59"/>
        <v>0</v>
      </c>
      <c r="N643" s="728"/>
      <c r="O643" s="724">
        <f t="shared" si="60"/>
        <v>0</v>
      </c>
      <c r="P643" s="724">
        <f t="shared" si="61"/>
        <v>0</v>
      </c>
      <c r="Q643" s="674"/>
    </row>
    <row r="644" spans="2:17">
      <c r="B644" s="330"/>
      <c r="C644" s="720">
        <f>IF(D613="","-",+C643+1)</f>
        <v>2038</v>
      </c>
      <c r="D644" s="673">
        <f t="shared" si="62"/>
        <v>1806654.28125</v>
      </c>
      <c r="E644" s="726">
        <f t="shared" si="63"/>
        <v>91091.8125</v>
      </c>
      <c r="F644" s="726">
        <f t="shared" si="56"/>
        <v>1715562.46875</v>
      </c>
      <c r="G644" s="673">
        <f t="shared" si="57"/>
        <v>1761108.375</v>
      </c>
      <c r="H644" s="721">
        <f>+J614*G644+E644</f>
        <v>361267.91871404741</v>
      </c>
      <c r="I644" s="727">
        <f>+J615*G644+E644</f>
        <v>361267.91871404741</v>
      </c>
      <c r="J644" s="724">
        <f t="shared" si="58"/>
        <v>0</v>
      </c>
      <c r="K644" s="724"/>
      <c r="L644" s="728"/>
      <c r="M644" s="724">
        <f t="shared" si="59"/>
        <v>0</v>
      </c>
      <c r="N644" s="728"/>
      <c r="O644" s="724">
        <f t="shared" si="60"/>
        <v>0</v>
      </c>
      <c r="P644" s="724">
        <f t="shared" si="61"/>
        <v>0</v>
      </c>
      <c r="Q644" s="674"/>
    </row>
    <row r="645" spans="2:17">
      <c r="B645" s="330"/>
      <c r="C645" s="720">
        <f>IF(D613="","-",+C644+1)</f>
        <v>2039</v>
      </c>
      <c r="D645" s="673">
        <f t="shared" si="62"/>
        <v>1715562.46875</v>
      </c>
      <c r="E645" s="726">
        <f t="shared" si="63"/>
        <v>91091.8125</v>
      </c>
      <c r="F645" s="726">
        <f t="shared" si="56"/>
        <v>1624470.65625</v>
      </c>
      <c r="G645" s="673">
        <f t="shared" si="57"/>
        <v>1670016.5625</v>
      </c>
      <c r="H645" s="721">
        <f>+J614*G645+E645</f>
        <v>347293.29253056215</v>
      </c>
      <c r="I645" s="727">
        <f>+J615*G645+E645</f>
        <v>347293.29253056215</v>
      </c>
      <c r="J645" s="724">
        <f t="shared" si="58"/>
        <v>0</v>
      </c>
      <c r="K645" s="724"/>
      <c r="L645" s="728"/>
      <c r="M645" s="724">
        <f t="shared" si="59"/>
        <v>0</v>
      </c>
      <c r="N645" s="728"/>
      <c r="O645" s="724">
        <f t="shared" si="60"/>
        <v>0</v>
      </c>
      <c r="P645" s="724">
        <f t="shared" si="61"/>
        <v>0</v>
      </c>
      <c r="Q645" s="674"/>
    </row>
    <row r="646" spans="2:17">
      <c r="B646" s="330"/>
      <c r="C646" s="720">
        <f>IF(D613="","-",+C645+1)</f>
        <v>2040</v>
      </c>
      <c r="D646" s="673">
        <f t="shared" si="62"/>
        <v>1624470.65625</v>
      </c>
      <c r="E646" s="726">
        <f t="shared" si="63"/>
        <v>91091.8125</v>
      </c>
      <c r="F646" s="726">
        <f t="shared" si="56"/>
        <v>1533378.84375</v>
      </c>
      <c r="G646" s="673">
        <f t="shared" si="57"/>
        <v>1578924.75</v>
      </c>
      <c r="H646" s="721">
        <f>+J614*G646+E646</f>
        <v>333318.666347077</v>
      </c>
      <c r="I646" s="727">
        <f>+J615*G646+E646</f>
        <v>333318.666347077</v>
      </c>
      <c r="J646" s="724">
        <f t="shared" si="58"/>
        <v>0</v>
      </c>
      <c r="K646" s="724"/>
      <c r="L646" s="728"/>
      <c r="M646" s="724">
        <f t="shared" si="59"/>
        <v>0</v>
      </c>
      <c r="N646" s="728"/>
      <c r="O646" s="724">
        <f t="shared" si="60"/>
        <v>0</v>
      </c>
      <c r="P646" s="724">
        <f t="shared" si="61"/>
        <v>0</v>
      </c>
      <c r="Q646" s="674"/>
    </row>
    <row r="647" spans="2:17">
      <c r="B647" s="330"/>
      <c r="C647" s="720">
        <f>IF(D613="","-",+C646+1)</f>
        <v>2041</v>
      </c>
      <c r="D647" s="673">
        <f t="shared" si="62"/>
        <v>1533378.84375</v>
      </c>
      <c r="E647" s="726">
        <f t="shared" si="63"/>
        <v>91091.8125</v>
      </c>
      <c r="F647" s="726">
        <f t="shared" si="56"/>
        <v>1442287.03125</v>
      </c>
      <c r="G647" s="673">
        <f t="shared" si="57"/>
        <v>1487832.9375</v>
      </c>
      <c r="H647" s="721">
        <f>+J614*G647+E647</f>
        <v>319344.04016359174</v>
      </c>
      <c r="I647" s="727">
        <f>+J615*G647+E647</f>
        <v>319344.04016359174</v>
      </c>
      <c r="J647" s="724">
        <f t="shared" si="58"/>
        <v>0</v>
      </c>
      <c r="K647" s="724"/>
      <c r="L647" s="728"/>
      <c r="M647" s="724">
        <f t="shared" si="59"/>
        <v>0</v>
      </c>
      <c r="N647" s="728"/>
      <c r="O647" s="724">
        <f t="shared" si="60"/>
        <v>0</v>
      </c>
      <c r="P647" s="724">
        <f t="shared" si="61"/>
        <v>0</v>
      </c>
      <c r="Q647" s="674"/>
    </row>
    <row r="648" spans="2:17">
      <c r="B648" s="330"/>
      <c r="C648" s="720">
        <f>IF(D613="","-",+C647+1)</f>
        <v>2042</v>
      </c>
      <c r="D648" s="673">
        <f t="shared" si="62"/>
        <v>1442287.03125</v>
      </c>
      <c r="E648" s="726">
        <f t="shared" si="63"/>
        <v>91091.8125</v>
      </c>
      <c r="F648" s="726">
        <f t="shared" si="56"/>
        <v>1351195.21875</v>
      </c>
      <c r="G648" s="673">
        <f t="shared" si="57"/>
        <v>1396741.125</v>
      </c>
      <c r="H648" s="721">
        <f>+J614*G648+E648</f>
        <v>305369.41398010659</v>
      </c>
      <c r="I648" s="727">
        <f>+J615*G648+E648</f>
        <v>305369.41398010659</v>
      </c>
      <c r="J648" s="724">
        <f t="shared" si="58"/>
        <v>0</v>
      </c>
      <c r="K648" s="724"/>
      <c r="L648" s="728"/>
      <c r="M648" s="724">
        <f t="shared" si="59"/>
        <v>0</v>
      </c>
      <c r="N648" s="728"/>
      <c r="O648" s="724">
        <f t="shared" si="60"/>
        <v>0</v>
      </c>
      <c r="P648" s="724">
        <f t="shared" si="61"/>
        <v>0</v>
      </c>
      <c r="Q648" s="674"/>
    </row>
    <row r="649" spans="2:17">
      <c r="B649" s="330"/>
      <c r="C649" s="720">
        <f>IF(D613="","-",+C648+1)</f>
        <v>2043</v>
      </c>
      <c r="D649" s="673">
        <f t="shared" si="62"/>
        <v>1351195.21875</v>
      </c>
      <c r="E649" s="726">
        <f t="shared" si="63"/>
        <v>91091.8125</v>
      </c>
      <c r="F649" s="726">
        <f t="shared" si="56"/>
        <v>1260103.40625</v>
      </c>
      <c r="G649" s="673">
        <f t="shared" si="57"/>
        <v>1305649.3125</v>
      </c>
      <c r="H649" s="721">
        <f>+J614*G649+E649</f>
        <v>291394.78779662133</v>
      </c>
      <c r="I649" s="727">
        <f>+J615*G649+E649</f>
        <v>291394.78779662133</v>
      </c>
      <c r="J649" s="724">
        <f t="shared" si="58"/>
        <v>0</v>
      </c>
      <c r="K649" s="724"/>
      <c r="L649" s="728"/>
      <c r="M649" s="724">
        <f t="shared" si="59"/>
        <v>0</v>
      </c>
      <c r="N649" s="728"/>
      <c r="O649" s="724">
        <f t="shared" si="60"/>
        <v>0</v>
      </c>
      <c r="P649" s="724">
        <f t="shared" si="61"/>
        <v>0</v>
      </c>
      <c r="Q649" s="674"/>
    </row>
    <row r="650" spans="2:17">
      <c r="B650" s="330"/>
      <c r="C650" s="720">
        <f>IF(D613="","-",+C649+1)</f>
        <v>2044</v>
      </c>
      <c r="D650" s="673">
        <f t="shared" si="62"/>
        <v>1260103.40625</v>
      </c>
      <c r="E650" s="726">
        <f t="shared" si="63"/>
        <v>91091.8125</v>
      </c>
      <c r="F650" s="726">
        <f t="shared" si="56"/>
        <v>1169011.59375</v>
      </c>
      <c r="G650" s="673">
        <f t="shared" si="57"/>
        <v>1214557.5</v>
      </c>
      <c r="H650" s="721">
        <f>+J614*G650+E650</f>
        <v>277420.16161313612</v>
      </c>
      <c r="I650" s="727">
        <f>+J615*G650+E650</f>
        <v>277420.16161313612</v>
      </c>
      <c r="J650" s="724">
        <f t="shared" si="58"/>
        <v>0</v>
      </c>
      <c r="K650" s="724"/>
      <c r="L650" s="728"/>
      <c r="M650" s="724">
        <f t="shared" si="59"/>
        <v>0</v>
      </c>
      <c r="N650" s="728"/>
      <c r="O650" s="724">
        <f t="shared" si="60"/>
        <v>0</v>
      </c>
      <c r="P650" s="724">
        <f t="shared" si="61"/>
        <v>0</v>
      </c>
      <c r="Q650" s="674"/>
    </row>
    <row r="651" spans="2:17">
      <c r="B651" s="330"/>
      <c r="C651" s="720">
        <f>IF(D613="","-",+C650+1)</f>
        <v>2045</v>
      </c>
      <c r="D651" s="673">
        <f t="shared" si="62"/>
        <v>1169011.59375</v>
      </c>
      <c r="E651" s="726">
        <f t="shared" si="63"/>
        <v>91091.8125</v>
      </c>
      <c r="F651" s="726">
        <f t="shared" si="56"/>
        <v>1077919.78125</v>
      </c>
      <c r="G651" s="673">
        <f t="shared" si="57"/>
        <v>1123465.6875</v>
      </c>
      <c r="H651" s="721">
        <f>+J614*G651+E651</f>
        <v>263445.53542965092</v>
      </c>
      <c r="I651" s="727">
        <f>+J615*G651+E651</f>
        <v>263445.53542965092</v>
      </c>
      <c r="J651" s="724">
        <f t="shared" si="58"/>
        <v>0</v>
      </c>
      <c r="K651" s="724"/>
      <c r="L651" s="728"/>
      <c r="M651" s="724">
        <f t="shared" si="59"/>
        <v>0</v>
      </c>
      <c r="N651" s="728"/>
      <c r="O651" s="724">
        <f t="shared" si="60"/>
        <v>0</v>
      </c>
      <c r="P651" s="724">
        <f t="shared" si="61"/>
        <v>0</v>
      </c>
      <c r="Q651" s="674"/>
    </row>
    <row r="652" spans="2:17">
      <c r="B652" s="330"/>
      <c r="C652" s="720">
        <f>IF(D613="","-",+C651+1)</f>
        <v>2046</v>
      </c>
      <c r="D652" s="673">
        <f t="shared" si="62"/>
        <v>1077919.78125</v>
      </c>
      <c r="E652" s="726">
        <f t="shared" si="63"/>
        <v>91091.8125</v>
      </c>
      <c r="F652" s="726">
        <f t="shared" si="56"/>
        <v>986827.96875</v>
      </c>
      <c r="G652" s="673">
        <f t="shared" si="57"/>
        <v>1032373.875</v>
      </c>
      <c r="H652" s="721">
        <f>+J614*G652+E652</f>
        <v>249470.90924616571</v>
      </c>
      <c r="I652" s="727">
        <f>+J615*G652+E652</f>
        <v>249470.90924616571</v>
      </c>
      <c r="J652" s="724">
        <f t="shared" si="58"/>
        <v>0</v>
      </c>
      <c r="K652" s="724"/>
      <c r="L652" s="728"/>
      <c r="M652" s="724">
        <f t="shared" si="59"/>
        <v>0</v>
      </c>
      <c r="N652" s="728"/>
      <c r="O652" s="724">
        <f t="shared" si="60"/>
        <v>0</v>
      </c>
      <c r="P652" s="724">
        <f t="shared" si="61"/>
        <v>0</v>
      </c>
      <c r="Q652" s="674"/>
    </row>
    <row r="653" spans="2:17">
      <c r="B653" s="330"/>
      <c r="C653" s="720">
        <f>IF(D613="","-",+C652+1)</f>
        <v>2047</v>
      </c>
      <c r="D653" s="673">
        <f t="shared" si="62"/>
        <v>986827.96875</v>
      </c>
      <c r="E653" s="726">
        <f t="shared" si="63"/>
        <v>91091.8125</v>
      </c>
      <c r="F653" s="726">
        <f t="shared" si="56"/>
        <v>895736.15625</v>
      </c>
      <c r="G653" s="673">
        <f t="shared" si="57"/>
        <v>941282.0625</v>
      </c>
      <c r="H653" s="721">
        <f>+J614*G653+E653</f>
        <v>235496.28306268051</v>
      </c>
      <c r="I653" s="727">
        <f>+J615*G653+E653</f>
        <v>235496.28306268051</v>
      </c>
      <c r="J653" s="724">
        <f t="shared" si="58"/>
        <v>0</v>
      </c>
      <c r="K653" s="724"/>
      <c r="L653" s="728"/>
      <c r="M653" s="724">
        <f t="shared" si="59"/>
        <v>0</v>
      </c>
      <c r="N653" s="728"/>
      <c r="O653" s="724">
        <f t="shared" si="60"/>
        <v>0</v>
      </c>
      <c r="P653" s="724">
        <f t="shared" si="61"/>
        <v>0</v>
      </c>
      <c r="Q653" s="674"/>
    </row>
    <row r="654" spans="2:17">
      <c r="B654" s="330"/>
      <c r="C654" s="720">
        <f>IF(D613="","-",+C653+1)</f>
        <v>2048</v>
      </c>
      <c r="D654" s="673">
        <f t="shared" si="62"/>
        <v>895736.15625</v>
      </c>
      <c r="E654" s="726">
        <f t="shared" si="63"/>
        <v>91091.8125</v>
      </c>
      <c r="F654" s="726">
        <f t="shared" si="56"/>
        <v>804644.34375</v>
      </c>
      <c r="G654" s="673">
        <f t="shared" si="57"/>
        <v>850190.25</v>
      </c>
      <c r="H654" s="721">
        <f>+J614*G654+E654</f>
        <v>221521.6568791953</v>
      </c>
      <c r="I654" s="727">
        <f>+J615*G654+E654</f>
        <v>221521.6568791953</v>
      </c>
      <c r="J654" s="724">
        <f t="shared" si="58"/>
        <v>0</v>
      </c>
      <c r="K654" s="724"/>
      <c r="L654" s="728"/>
      <c r="M654" s="724">
        <f t="shared" si="59"/>
        <v>0</v>
      </c>
      <c r="N654" s="728"/>
      <c r="O654" s="724">
        <f t="shared" si="60"/>
        <v>0</v>
      </c>
      <c r="P654" s="724">
        <f t="shared" si="61"/>
        <v>0</v>
      </c>
      <c r="Q654" s="674"/>
    </row>
    <row r="655" spans="2:17">
      <c r="B655" s="330"/>
      <c r="C655" s="720">
        <f>IF(D613="","-",+C654+1)</f>
        <v>2049</v>
      </c>
      <c r="D655" s="673">
        <f t="shared" si="62"/>
        <v>804644.34375</v>
      </c>
      <c r="E655" s="726">
        <f t="shared" si="63"/>
        <v>91091.8125</v>
      </c>
      <c r="F655" s="726">
        <f t="shared" si="56"/>
        <v>713552.53125</v>
      </c>
      <c r="G655" s="673">
        <f t="shared" si="57"/>
        <v>759098.4375</v>
      </c>
      <c r="H655" s="721">
        <f>+J614*G655+E655</f>
        <v>207547.0306957101</v>
      </c>
      <c r="I655" s="727">
        <f>+J615*G655+E655</f>
        <v>207547.0306957101</v>
      </c>
      <c r="J655" s="724">
        <f t="shared" si="58"/>
        <v>0</v>
      </c>
      <c r="K655" s="724"/>
      <c r="L655" s="728"/>
      <c r="M655" s="724">
        <f t="shared" si="59"/>
        <v>0</v>
      </c>
      <c r="N655" s="728"/>
      <c r="O655" s="724">
        <f t="shared" si="60"/>
        <v>0</v>
      </c>
      <c r="P655" s="724">
        <f t="shared" si="61"/>
        <v>0</v>
      </c>
      <c r="Q655" s="674"/>
    </row>
    <row r="656" spans="2:17">
      <c r="B656" s="330"/>
      <c r="C656" s="720">
        <f>IF(D613="","-",+C655+1)</f>
        <v>2050</v>
      </c>
      <c r="D656" s="673">
        <f t="shared" si="62"/>
        <v>713552.53125</v>
      </c>
      <c r="E656" s="726">
        <f t="shared" si="63"/>
        <v>91091.8125</v>
      </c>
      <c r="F656" s="726">
        <f t="shared" si="56"/>
        <v>622460.71875</v>
      </c>
      <c r="G656" s="673">
        <f t="shared" si="57"/>
        <v>668006.625</v>
      </c>
      <c r="H656" s="721">
        <f>+J614*G656+E656</f>
        <v>193572.40451222489</v>
      </c>
      <c r="I656" s="727">
        <f>+J615*G656+E656</f>
        <v>193572.40451222489</v>
      </c>
      <c r="J656" s="724">
        <f t="shared" si="58"/>
        <v>0</v>
      </c>
      <c r="K656" s="724"/>
      <c r="L656" s="728"/>
      <c r="M656" s="724">
        <f t="shared" si="59"/>
        <v>0</v>
      </c>
      <c r="N656" s="728"/>
      <c r="O656" s="724">
        <f t="shared" si="60"/>
        <v>0</v>
      </c>
      <c r="P656" s="724">
        <f t="shared" si="61"/>
        <v>0</v>
      </c>
      <c r="Q656" s="674"/>
    </row>
    <row r="657" spans="2:17">
      <c r="B657" s="330"/>
      <c r="C657" s="720">
        <f>IF(D613="","-",+C656+1)</f>
        <v>2051</v>
      </c>
      <c r="D657" s="673">
        <f t="shared" si="62"/>
        <v>622460.71875</v>
      </c>
      <c r="E657" s="726">
        <f t="shared" si="63"/>
        <v>91091.8125</v>
      </c>
      <c r="F657" s="726">
        <f t="shared" si="56"/>
        <v>531368.90625</v>
      </c>
      <c r="G657" s="673">
        <f t="shared" si="57"/>
        <v>576914.8125</v>
      </c>
      <c r="H657" s="721">
        <f>+J614*G657+E657</f>
        <v>179597.77832873966</v>
      </c>
      <c r="I657" s="727">
        <f>+J615*G657+E657</f>
        <v>179597.77832873966</v>
      </c>
      <c r="J657" s="724">
        <f t="shared" si="58"/>
        <v>0</v>
      </c>
      <c r="K657" s="724"/>
      <c r="L657" s="728"/>
      <c r="M657" s="724">
        <f t="shared" si="59"/>
        <v>0</v>
      </c>
      <c r="N657" s="728"/>
      <c r="O657" s="724">
        <f t="shared" si="60"/>
        <v>0</v>
      </c>
      <c r="P657" s="724">
        <f t="shared" si="61"/>
        <v>0</v>
      </c>
      <c r="Q657" s="674"/>
    </row>
    <row r="658" spans="2:17">
      <c r="B658" s="330"/>
      <c r="C658" s="720">
        <f>IF(D613="","-",+C657+1)</f>
        <v>2052</v>
      </c>
      <c r="D658" s="673">
        <f t="shared" si="62"/>
        <v>531368.90625</v>
      </c>
      <c r="E658" s="726">
        <f t="shared" si="63"/>
        <v>91091.8125</v>
      </c>
      <c r="F658" s="726">
        <f t="shared" si="56"/>
        <v>440277.09375</v>
      </c>
      <c r="G658" s="673">
        <f t="shared" si="57"/>
        <v>485823</v>
      </c>
      <c r="H658" s="721">
        <f>+J614*G658+E658</f>
        <v>165623.15214525445</v>
      </c>
      <c r="I658" s="727">
        <f>+J615*G658+E658</f>
        <v>165623.15214525445</v>
      </c>
      <c r="J658" s="724">
        <f t="shared" si="58"/>
        <v>0</v>
      </c>
      <c r="K658" s="724"/>
      <c r="L658" s="728"/>
      <c r="M658" s="724">
        <f t="shared" si="59"/>
        <v>0</v>
      </c>
      <c r="N658" s="728"/>
      <c r="O658" s="724">
        <f t="shared" si="60"/>
        <v>0</v>
      </c>
      <c r="P658" s="724">
        <f t="shared" si="61"/>
        <v>0</v>
      </c>
      <c r="Q658" s="674"/>
    </row>
    <row r="659" spans="2:17">
      <c r="B659" s="330"/>
      <c r="C659" s="720">
        <f>IF(D613="","-",+C658+1)</f>
        <v>2053</v>
      </c>
      <c r="D659" s="673">
        <f t="shared" si="62"/>
        <v>440277.09375</v>
      </c>
      <c r="E659" s="726">
        <f t="shared" si="63"/>
        <v>91091.8125</v>
      </c>
      <c r="F659" s="726">
        <f t="shared" si="56"/>
        <v>349185.28125</v>
      </c>
      <c r="G659" s="673">
        <f t="shared" si="57"/>
        <v>394731.1875</v>
      </c>
      <c r="H659" s="721">
        <f>+J614*G659+E659</f>
        <v>151648.52596176925</v>
      </c>
      <c r="I659" s="727">
        <f>+J615*G659+E659</f>
        <v>151648.52596176925</v>
      </c>
      <c r="J659" s="724">
        <f t="shared" si="58"/>
        <v>0</v>
      </c>
      <c r="K659" s="724"/>
      <c r="L659" s="728"/>
      <c r="M659" s="724">
        <f t="shared" si="59"/>
        <v>0</v>
      </c>
      <c r="N659" s="728"/>
      <c r="O659" s="724">
        <f t="shared" si="60"/>
        <v>0</v>
      </c>
      <c r="P659" s="724">
        <f t="shared" si="61"/>
        <v>0</v>
      </c>
      <c r="Q659" s="674"/>
    </row>
    <row r="660" spans="2:17">
      <c r="B660" s="330"/>
      <c r="C660" s="720">
        <f>IF(D613="","-",+C659+1)</f>
        <v>2054</v>
      </c>
      <c r="D660" s="673">
        <f t="shared" si="62"/>
        <v>349185.28125</v>
      </c>
      <c r="E660" s="726">
        <f t="shared" si="63"/>
        <v>91091.8125</v>
      </c>
      <c r="F660" s="726">
        <f t="shared" si="56"/>
        <v>258093.46875</v>
      </c>
      <c r="G660" s="673">
        <f t="shared" si="57"/>
        <v>303639.375</v>
      </c>
      <c r="H660" s="721">
        <f>+J614*G660+E660</f>
        <v>137673.89977828402</v>
      </c>
      <c r="I660" s="727">
        <f>+J615*G660+E660</f>
        <v>137673.89977828402</v>
      </c>
      <c r="J660" s="724">
        <f t="shared" si="58"/>
        <v>0</v>
      </c>
      <c r="K660" s="724"/>
      <c r="L660" s="728"/>
      <c r="M660" s="724">
        <f t="shared" si="59"/>
        <v>0</v>
      </c>
      <c r="N660" s="728"/>
      <c r="O660" s="724">
        <f t="shared" si="60"/>
        <v>0</v>
      </c>
      <c r="P660" s="724">
        <f t="shared" si="61"/>
        <v>0</v>
      </c>
      <c r="Q660" s="674"/>
    </row>
    <row r="661" spans="2:17">
      <c r="B661" s="330"/>
      <c r="C661" s="720">
        <f>IF(D613="","-",+C660+1)</f>
        <v>2055</v>
      </c>
      <c r="D661" s="673">
        <f t="shared" si="62"/>
        <v>258093.46875</v>
      </c>
      <c r="E661" s="726">
        <f t="shared" si="63"/>
        <v>91091.8125</v>
      </c>
      <c r="F661" s="726">
        <f t="shared" si="56"/>
        <v>167001.65625</v>
      </c>
      <c r="G661" s="673">
        <f t="shared" si="57"/>
        <v>212547.5625</v>
      </c>
      <c r="H661" s="721">
        <f>+J614*G661+E661</f>
        <v>123699.27359479883</v>
      </c>
      <c r="I661" s="727">
        <f>+J615*G661+E661</f>
        <v>123699.27359479883</v>
      </c>
      <c r="J661" s="724">
        <f t="shared" si="58"/>
        <v>0</v>
      </c>
      <c r="K661" s="724"/>
      <c r="L661" s="728"/>
      <c r="M661" s="724">
        <f t="shared" si="59"/>
        <v>0</v>
      </c>
      <c r="N661" s="728"/>
      <c r="O661" s="724">
        <f t="shared" si="60"/>
        <v>0</v>
      </c>
      <c r="P661" s="724">
        <f t="shared" si="61"/>
        <v>0</v>
      </c>
      <c r="Q661" s="674"/>
    </row>
    <row r="662" spans="2:17">
      <c r="B662" s="330"/>
      <c r="C662" s="720">
        <f>IF(D613="","-",+C661+1)</f>
        <v>2056</v>
      </c>
      <c r="D662" s="673">
        <f t="shared" si="62"/>
        <v>167001.65625</v>
      </c>
      <c r="E662" s="726">
        <f t="shared" si="63"/>
        <v>91091.8125</v>
      </c>
      <c r="F662" s="726">
        <f t="shared" si="56"/>
        <v>75909.84375</v>
      </c>
      <c r="G662" s="673">
        <f t="shared" si="57"/>
        <v>121455.75</v>
      </c>
      <c r="H662" s="721">
        <f>+J614*G662+E662</f>
        <v>109724.64741131361</v>
      </c>
      <c r="I662" s="727">
        <f>+J615*G662+E662</f>
        <v>109724.64741131361</v>
      </c>
      <c r="J662" s="724">
        <f t="shared" si="58"/>
        <v>0</v>
      </c>
      <c r="K662" s="724"/>
      <c r="L662" s="728"/>
      <c r="M662" s="724">
        <f t="shared" si="59"/>
        <v>0</v>
      </c>
      <c r="N662" s="728"/>
      <c r="O662" s="724">
        <f t="shared" si="60"/>
        <v>0</v>
      </c>
      <c r="P662" s="724">
        <f t="shared" si="61"/>
        <v>0</v>
      </c>
      <c r="Q662" s="674"/>
    </row>
    <row r="663" spans="2:17">
      <c r="B663" s="330"/>
      <c r="C663" s="720">
        <f>IF(D613="","-",+C662+1)</f>
        <v>2057</v>
      </c>
      <c r="D663" s="673">
        <f t="shared" si="62"/>
        <v>75909.84375</v>
      </c>
      <c r="E663" s="726">
        <f t="shared" si="63"/>
        <v>75909.84375</v>
      </c>
      <c r="F663" s="726">
        <f t="shared" si="56"/>
        <v>0</v>
      </c>
      <c r="G663" s="673">
        <f t="shared" si="57"/>
        <v>37954.921875</v>
      </c>
      <c r="H663" s="721">
        <f>+J614*G663+E663</f>
        <v>81732.604659785502</v>
      </c>
      <c r="I663" s="727">
        <f>+J615*G663+E663</f>
        <v>81732.604659785502</v>
      </c>
      <c r="J663" s="724">
        <f t="shared" si="58"/>
        <v>0</v>
      </c>
      <c r="K663" s="724"/>
      <c r="L663" s="728"/>
      <c r="M663" s="724">
        <f t="shared" si="59"/>
        <v>0</v>
      </c>
      <c r="N663" s="728"/>
      <c r="O663" s="724">
        <f t="shared" si="60"/>
        <v>0</v>
      </c>
      <c r="P663" s="724">
        <f t="shared" si="61"/>
        <v>0</v>
      </c>
      <c r="Q663" s="674"/>
    </row>
    <row r="664" spans="2:17">
      <c r="B664" s="330"/>
      <c r="C664" s="720">
        <f>IF(D613="","-",+C663+1)</f>
        <v>2058</v>
      </c>
      <c r="D664" s="673">
        <f t="shared" si="62"/>
        <v>0</v>
      </c>
      <c r="E664" s="726">
        <f t="shared" si="63"/>
        <v>0</v>
      </c>
      <c r="F664" s="726">
        <f t="shared" si="56"/>
        <v>0</v>
      </c>
      <c r="G664" s="673">
        <f t="shared" si="57"/>
        <v>0</v>
      </c>
      <c r="H664" s="721">
        <f>+J614*G664+E664</f>
        <v>0</v>
      </c>
      <c r="I664" s="727">
        <f>+J615*G664+E664</f>
        <v>0</v>
      </c>
      <c r="J664" s="724">
        <f t="shared" si="58"/>
        <v>0</v>
      </c>
      <c r="K664" s="724"/>
      <c r="L664" s="728"/>
      <c r="M664" s="724">
        <f t="shared" si="59"/>
        <v>0</v>
      </c>
      <c r="N664" s="728"/>
      <c r="O664" s="724">
        <f t="shared" si="60"/>
        <v>0</v>
      </c>
      <c r="P664" s="724">
        <f t="shared" si="61"/>
        <v>0</v>
      </c>
      <c r="Q664" s="674"/>
    </row>
    <row r="665" spans="2:17">
      <c r="B665" s="330"/>
      <c r="C665" s="720">
        <f>IF(D613="","-",+C664+1)</f>
        <v>2059</v>
      </c>
      <c r="D665" s="673">
        <f t="shared" si="62"/>
        <v>0</v>
      </c>
      <c r="E665" s="726">
        <f t="shared" si="63"/>
        <v>0</v>
      </c>
      <c r="F665" s="726">
        <f t="shared" si="56"/>
        <v>0</v>
      </c>
      <c r="G665" s="673">
        <f t="shared" si="57"/>
        <v>0</v>
      </c>
      <c r="H665" s="721">
        <f>+J614*G665+E665</f>
        <v>0</v>
      </c>
      <c r="I665" s="727">
        <f>+J615*G665+E665</f>
        <v>0</v>
      </c>
      <c r="J665" s="724">
        <f t="shared" si="58"/>
        <v>0</v>
      </c>
      <c r="K665" s="724"/>
      <c r="L665" s="728"/>
      <c r="M665" s="724">
        <f t="shared" si="59"/>
        <v>0</v>
      </c>
      <c r="N665" s="728"/>
      <c r="O665" s="724">
        <f t="shared" si="60"/>
        <v>0</v>
      </c>
      <c r="P665" s="724">
        <f t="shared" si="61"/>
        <v>0</v>
      </c>
      <c r="Q665" s="674"/>
    </row>
    <row r="666" spans="2:17">
      <c r="B666" s="330"/>
      <c r="C666" s="720">
        <f>IF(D613="","-",+C665+1)</f>
        <v>2060</v>
      </c>
      <c r="D666" s="673">
        <f t="shared" si="62"/>
        <v>0</v>
      </c>
      <c r="E666" s="726">
        <f t="shared" si="63"/>
        <v>0</v>
      </c>
      <c r="F666" s="726">
        <f t="shared" si="56"/>
        <v>0</v>
      </c>
      <c r="G666" s="673">
        <f t="shared" si="57"/>
        <v>0</v>
      </c>
      <c r="H666" s="721">
        <f>+J614*G666+E666</f>
        <v>0</v>
      </c>
      <c r="I666" s="727">
        <f>+J615*G666+E666</f>
        <v>0</v>
      </c>
      <c r="J666" s="724">
        <f t="shared" si="58"/>
        <v>0</v>
      </c>
      <c r="K666" s="724"/>
      <c r="L666" s="728"/>
      <c r="M666" s="724">
        <f t="shared" si="59"/>
        <v>0</v>
      </c>
      <c r="N666" s="728"/>
      <c r="O666" s="724">
        <f t="shared" si="60"/>
        <v>0</v>
      </c>
      <c r="P666" s="724">
        <f t="shared" si="61"/>
        <v>0</v>
      </c>
      <c r="Q666" s="674"/>
    </row>
    <row r="667" spans="2:17">
      <c r="B667" s="330"/>
      <c r="C667" s="720">
        <f>IF(D613="","-",+C666+1)</f>
        <v>2061</v>
      </c>
      <c r="D667" s="673">
        <f t="shared" si="62"/>
        <v>0</v>
      </c>
      <c r="E667" s="726">
        <f t="shared" si="63"/>
        <v>0</v>
      </c>
      <c r="F667" s="726">
        <f t="shared" si="56"/>
        <v>0</v>
      </c>
      <c r="G667" s="673">
        <f t="shared" si="57"/>
        <v>0</v>
      </c>
      <c r="H667" s="721">
        <f>+J614*G667+E667</f>
        <v>0</v>
      </c>
      <c r="I667" s="727">
        <f>+J615*G667+E667</f>
        <v>0</v>
      </c>
      <c r="J667" s="724">
        <f t="shared" si="58"/>
        <v>0</v>
      </c>
      <c r="K667" s="724"/>
      <c r="L667" s="728"/>
      <c r="M667" s="724">
        <f t="shared" si="59"/>
        <v>0</v>
      </c>
      <c r="N667" s="728"/>
      <c r="O667" s="724">
        <f t="shared" si="60"/>
        <v>0</v>
      </c>
      <c r="P667" s="724">
        <f t="shared" si="61"/>
        <v>0</v>
      </c>
      <c r="Q667" s="674"/>
    </row>
    <row r="668" spans="2:17">
      <c r="B668" s="330"/>
      <c r="C668" s="720">
        <f>IF(D613="","-",+C667+1)</f>
        <v>2062</v>
      </c>
      <c r="D668" s="673">
        <f t="shared" si="62"/>
        <v>0</v>
      </c>
      <c r="E668" s="726">
        <f t="shared" si="63"/>
        <v>0</v>
      </c>
      <c r="F668" s="726">
        <f t="shared" si="56"/>
        <v>0</v>
      </c>
      <c r="G668" s="673">
        <f t="shared" si="57"/>
        <v>0</v>
      </c>
      <c r="H668" s="721">
        <f>+J614*G668+E668</f>
        <v>0</v>
      </c>
      <c r="I668" s="727">
        <f>+J615*G668+E668</f>
        <v>0</v>
      </c>
      <c r="J668" s="724">
        <f t="shared" si="58"/>
        <v>0</v>
      </c>
      <c r="K668" s="724"/>
      <c r="L668" s="728"/>
      <c r="M668" s="724">
        <f t="shared" si="59"/>
        <v>0</v>
      </c>
      <c r="N668" s="728"/>
      <c r="O668" s="724">
        <f t="shared" si="60"/>
        <v>0</v>
      </c>
      <c r="P668" s="724">
        <f t="shared" si="61"/>
        <v>0</v>
      </c>
      <c r="Q668" s="674"/>
    </row>
    <row r="669" spans="2:17">
      <c r="B669" s="330"/>
      <c r="C669" s="720">
        <f>IF(D613="","-",+C668+1)</f>
        <v>2063</v>
      </c>
      <c r="D669" s="673">
        <f t="shared" si="62"/>
        <v>0</v>
      </c>
      <c r="E669" s="726">
        <f t="shared" si="63"/>
        <v>0</v>
      </c>
      <c r="F669" s="726">
        <f t="shared" si="56"/>
        <v>0</v>
      </c>
      <c r="G669" s="673">
        <f t="shared" si="57"/>
        <v>0</v>
      </c>
      <c r="H669" s="721">
        <f>+J614*G669+E669</f>
        <v>0</v>
      </c>
      <c r="I669" s="727">
        <f>+J615*G669+E669</f>
        <v>0</v>
      </c>
      <c r="J669" s="724">
        <f t="shared" si="58"/>
        <v>0</v>
      </c>
      <c r="K669" s="724"/>
      <c r="L669" s="728"/>
      <c r="M669" s="724">
        <f t="shared" si="59"/>
        <v>0</v>
      </c>
      <c r="N669" s="728"/>
      <c r="O669" s="724">
        <f t="shared" si="60"/>
        <v>0</v>
      </c>
      <c r="P669" s="724">
        <f t="shared" si="61"/>
        <v>0</v>
      </c>
      <c r="Q669" s="674"/>
    </row>
    <row r="670" spans="2:17">
      <c r="B670" s="330"/>
      <c r="C670" s="720">
        <f>IF(D613="","-",+C669+1)</f>
        <v>2064</v>
      </c>
      <c r="D670" s="673">
        <f t="shared" si="62"/>
        <v>0</v>
      </c>
      <c r="E670" s="726">
        <f t="shared" si="63"/>
        <v>0</v>
      </c>
      <c r="F670" s="726">
        <f t="shared" si="56"/>
        <v>0</v>
      </c>
      <c r="G670" s="673">
        <f t="shared" si="57"/>
        <v>0</v>
      </c>
      <c r="H670" s="721">
        <f>+J614*G670+E670</f>
        <v>0</v>
      </c>
      <c r="I670" s="727">
        <f>+J615*G670+E670</f>
        <v>0</v>
      </c>
      <c r="J670" s="724">
        <f t="shared" si="58"/>
        <v>0</v>
      </c>
      <c r="K670" s="724"/>
      <c r="L670" s="728"/>
      <c r="M670" s="724">
        <f t="shared" si="59"/>
        <v>0</v>
      </c>
      <c r="N670" s="728"/>
      <c r="O670" s="724">
        <f t="shared" si="60"/>
        <v>0</v>
      </c>
      <c r="P670" s="724">
        <f t="shared" si="61"/>
        <v>0</v>
      </c>
      <c r="Q670" s="674"/>
    </row>
    <row r="671" spans="2:17">
      <c r="B671" s="330"/>
      <c r="C671" s="720">
        <f>IF(D613="","-",+C670+1)</f>
        <v>2065</v>
      </c>
      <c r="D671" s="673">
        <f t="shared" si="62"/>
        <v>0</v>
      </c>
      <c r="E671" s="726">
        <f t="shared" si="63"/>
        <v>0</v>
      </c>
      <c r="F671" s="726">
        <f t="shared" si="56"/>
        <v>0</v>
      </c>
      <c r="G671" s="673">
        <f t="shared" si="57"/>
        <v>0</v>
      </c>
      <c r="H671" s="721">
        <f>+J614*G671+E671</f>
        <v>0</v>
      </c>
      <c r="I671" s="727">
        <f>+J615*G671+E671</f>
        <v>0</v>
      </c>
      <c r="J671" s="724">
        <f t="shared" si="58"/>
        <v>0</v>
      </c>
      <c r="K671" s="724"/>
      <c r="L671" s="728"/>
      <c r="M671" s="724">
        <f t="shared" si="59"/>
        <v>0</v>
      </c>
      <c r="N671" s="728"/>
      <c r="O671" s="724">
        <f t="shared" si="60"/>
        <v>0</v>
      </c>
      <c r="P671" s="724">
        <f t="shared" si="61"/>
        <v>0</v>
      </c>
      <c r="Q671" s="674"/>
    </row>
    <row r="672" spans="2:17">
      <c r="B672" s="330"/>
      <c r="C672" s="720">
        <f>IF(D613="","-",+C671+1)</f>
        <v>2066</v>
      </c>
      <c r="D672" s="673">
        <f t="shared" si="62"/>
        <v>0</v>
      </c>
      <c r="E672" s="726">
        <f t="shared" si="63"/>
        <v>0</v>
      </c>
      <c r="F672" s="726">
        <f t="shared" si="56"/>
        <v>0</v>
      </c>
      <c r="G672" s="673">
        <f t="shared" si="57"/>
        <v>0</v>
      </c>
      <c r="H672" s="721">
        <f>+J614*G672+E672</f>
        <v>0</v>
      </c>
      <c r="I672" s="727">
        <f>+J615*G672+E672</f>
        <v>0</v>
      </c>
      <c r="J672" s="724">
        <f t="shared" si="58"/>
        <v>0</v>
      </c>
      <c r="K672" s="724"/>
      <c r="L672" s="728"/>
      <c r="M672" s="724">
        <f t="shared" si="59"/>
        <v>0</v>
      </c>
      <c r="N672" s="728"/>
      <c r="O672" s="724">
        <f t="shared" si="60"/>
        <v>0</v>
      </c>
      <c r="P672" s="724">
        <f t="shared" si="61"/>
        <v>0</v>
      </c>
      <c r="Q672" s="674"/>
    </row>
    <row r="673" spans="1:17">
      <c r="B673" s="330"/>
      <c r="C673" s="720">
        <f>IF(D613="","-",+C672+1)</f>
        <v>2067</v>
      </c>
      <c r="D673" s="673">
        <f t="shared" si="62"/>
        <v>0</v>
      </c>
      <c r="E673" s="726">
        <f t="shared" si="63"/>
        <v>0</v>
      </c>
      <c r="F673" s="726">
        <f t="shared" si="56"/>
        <v>0</v>
      </c>
      <c r="G673" s="673">
        <f t="shared" si="57"/>
        <v>0</v>
      </c>
      <c r="H673" s="721">
        <f>+J614*G673+E673</f>
        <v>0</v>
      </c>
      <c r="I673" s="727">
        <f>+J615*G673+E673</f>
        <v>0</v>
      </c>
      <c r="J673" s="724">
        <f t="shared" si="58"/>
        <v>0</v>
      </c>
      <c r="K673" s="724"/>
      <c r="L673" s="728"/>
      <c r="M673" s="724">
        <f t="shared" si="59"/>
        <v>0</v>
      </c>
      <c r="N673" s="728"/>
      <c r="O673" s="724">
        <f t="shared" si="60"/>
        <v>0</v>
      </c>
      <c r="P673" s="724">
        <f t="shared" si="61"/>
        <v>0</v>
      </c>
      <c r="Q673" s="674"/>
    </row>
    <row r="674" spans="1:17">
      <c r="B674" s="330"/>
      <c r="C674" s="720">
        <f>IF(D613="","-",+C673+1)</f>
        <v>2068</v>
      </c>
      <c r="D674" s="673">
        <f t="shared" si="62"/>
        <v>0</v>
      </c>
      <c r="E674" s="726">
        <f t="shared" si="63"/>
        <v>0</v>
      </c>
      <c r="F674" s="726">
        <f t="shared" si="56"/>
        <v>0</v>
      </c>
      <c r="G674" s="673">
        <f t="shared" si="57"/>
        <v>0</v>
      </c>
      <c r="H674" s="721">
        <f>+J614*G674+E674</f>
        <v>0</v>
      </c>
      <c r="I674" s="727">
        <f>+J615*G674+E674</f>
        <v>0</v>
      </c>
      <c r="J674" s="724">
        <f t="shared" si="58"/>
        <v>0</v>
      </c>
      <c r="K674" s="724"/>
      <c r="L674" s="728"/>
      <c r="M674" s="724">
        <f t="shared" si="59"/>
        <v>0</v>
      </c>
      <c r="N674" s="728"/>
      <c r="O674" s="724">
        <f t="shared" si="60"/>
        <v>0</v>
      </c>
      <c r="P674" s="724">
        <f t="shared" si="61"/>
        <v>0</v>
      </c>
      <c r="Q674" s="674"/>
    </row>
    <row r="675" spans="1:17">
      <c r="B675" s="330"/>
      <c r="C675" s="720">
        <f>IF(D613="","-",+C674+1)</f>
        <v>2069</v>
      </c>
      <c r="D675" s="673">
        <f t="shared" si="62"/>
        <v>0</v>
      </c>
      <c r="E675" s="726">
        <f t="shared" si="63"/>
        <v>0</v>
      </c>
      <c r="F675" s="726">
        <f t="shared" si="56"/>
        <v>0</v>
      </c>
      <c r="G675" s="673">
        <f t="shared" si="57"/>
        <v>0</v>
      </c>
      <c r="H675" s="721">
        <f>+J614*G675+E675</f>
        <v>0</v>
      </c>
      <c r="I675" s="727">
        <f>+J615*G675+E675</f>
        <v>0</v>
      </c>
      <c r="J675" s="724">
        <f t="shared" si="58"/>
        <v>0</v>
      </c>
      <c r="K675" s="724"/>
      <c r="L675" s="728"/>
      <c r="M675" s="724">
        <f t="shared" si="59"/>
        <v>0</v>
      </c>
      <c r="N675" s="728"/>
      <c r="O675" s="724">
        <f t="shared" si="60"/>
        <v>0</v>
      </c>
      <c r="P675" s="724">
        <f t="shared" si="61"/>
        <v>0</v>
      </c>
      <c r="Q675" s="674"/>
    </row>
    <row r="676" spans="1:17">
      <c r="B676" s="330"/>
      <c r="C676" s="720">
        <f>IF(D613="","-",+C675+1)</f>
        <v>2070</v>
      </c>
      <c r="D676" s="673">
        <f t="shared" si="62"/>
        <v>0</v>
      </c>
      <c r="E676" s="726">
        <f t="shared" si="63"/>
        <v>0</v>
      </c>
      <c r="F676" s="726">
        <f t="shared" si="56"/>
        <v>0</v>
      </c>
      <c r="G676" s="673">
        <f t="shared" si="57"/>
        <v>0</v>
      </c>
      <c r="H676" s="721">
        <f>+J614*G676+E676</f>
        <v>0</v>
      </c>
      <c r="I676" s="727">
        <f>+J615*G676+E676</f>
        <v>0</v>
      </c>
      <c r="J676" s="724">
        <f t="shared" si="58"/>
        <v>0</v>
      </c>
      <c r="K676" s="724"/>
      <c r="L676" s="728"/>
      <c r="M676" s="724">
        <f t="shared" si="59"/>
        <v>0</v>
      </c>
      <c r="N676" s="728"/>
      <c r="O676" s="724">
        <f t="shared" si="60"/>
        <v>0</v>
      </c>
      <c r="P676" s="724">
        <f t="shared" si="61"/>
        <v>0</v>
      </c>
      <c r="Q676" s="674"/>
    </row>
    <row r="677" spans="1:17">
      <c r="B677" s="330"/>
      <c r="C677" s="720">
        <f>IF(D613="","-",+C676+1)</f>
        <v>2071</v>
      </c>
      <c r="D677" s="673">
        <f t="shared" si="62"/>
        <v>0</v>
      </c>
      <c r="E677" s="726">
        <f t="shared" si="63"/>
        <v>0</v>
      </c>
      <c r="F677" s="726">
        <f t="shared" si="56"/>
        <v>0</v>
      </c>
      <c r="G677" s="673">
        <f t="shared" si="57"/>
        <v>0</v>
      </c>
      <c r="H677" s="721">
        <f>+J614*G677+E677</f>
        <v>0</v>
      </c>
      <c r="I677" s="727">
        <f>+J615*G677+E677</f>
        <v>0</v>
      </c>
      <c r="J677" s="724">
        <f t="shared" si="58"/>
        <v>0</v>
      </c>
      <c r="K677" s="724"/>
      <c r="L677" s="728"/>
      <c r="M677" s="724">
        <f t="shared" si="59"/>
        <v>0</v>
      </c>
      <c r="N677" s="728"/>
      <c r="O677" s="724">
        <f t="shared" si="60"/>
        <v>0</v>
      </c>
      <c r="P677" s="724">
        <f t="shared" si="61"/>
        <v>0</v>
      </c>
      <c r="Q677" s="674"/>
    </row>
    <row r="678" spans="1:17" ht="13.5" thickBot="1">
      <c r="B678" s="330"/>
      <c r="C678" s="730">
        <f>IF(D613="","-",+C677+1)</f>
        <v>2072</v>
      </c>
      <c r="D678" s="731">
        <f t="shared" si="62"/>
        <v>0</v>
      </c>
      <c r="E678" s="1309">
        <f t="shared" si="63"/>
        <v>0</v>
      </c>
      <c r="F678" s="732">
        <f t="shared" si="56"/>
        <v>0</v>
      </c>
      <c r="G678" s="731">
        <f t="shared" si="57"/>
        <v>0</v>
      </c>
      <c r="H678" s="733">
        <f>+J614*G678+E678</f>
        <v>0</v>
      </c>
      <c r="I678" s="733">
        <f>+J615*G678+E678</f>
        <v>0</v>
      </c>
      <c r="J678" s="734">
        <f t="shared" si="58"/>
        <v>0</v>
      </c>
      <c r="K678" s="724"/>
      <c r="L678" s="735"/>
      <c r="M678" s="734">
        <f t="shared" si="59"/>
        <v>0</v>
      </c>
      <c r="N678" s="735"/>
      <c r="O678" s="734">
        <f t="shared" si="60"/>
        <v>0</v>
      </c>
      <c r="P678" s="734">
        <f t="shared" si="61"/>
        <v>0</v>
      </c>
      <c r="Q678" s="674"/>
    </row>
    <row r="679" spans="1:17">
      <c r="B679" s="330"/>
      <c r="C679" s="673" t="s">
        <v>288</v>
      </c>
      <c r="D679" s="669"/>
      <c r="E679" s="669">
        <f>SUM(E619:E678)</f>
        <v>4008039.75</v>
      </c>
      <c r="F679" s="669"/>
      <c r="G679" s="669"/>
      <c r="H679" s="669">
        <f>SUM(H619:H678)</f>
        <v>18047880.855674811</v>
      </c>
      <c r="I679" s="669">
        <f>SUM(I619:I678)</f>
        <v>18047880.855674811</v>
      </c>
      <c r="J679" s="669">
        <f>SUM(J619:J678)</f>
        <v>0</v>
      </c>
      <c r="K679" s="669"/>
      <c r="L679" s="669"/>
      <c r="M679" s="669"/>
      <c r="N679" s="669"/>
      <c r="O679" s="669"/>
      <c r="Q679" s="669"/>
    </row>
    <row r="680" spans="1:17">
      <c r="B680" s="330"/>
      <c r="D680" s="563"/>
      <c r="E680" s="542"/>
      <c r="F680" s="542"/>
      <c r="G680" s="542"/>
      <c r="H680" s="542"/>
      <c r="I680" s="646"/>
      <c r="J680" s="646"/>
      <c r="K680" s="669"/>
      <c r="L680" s="646"/>
      <c r="M680" s="646"/>
      <c r="N680" s="646"/>
      <c r="O680" s="646"/>
      <c r="Q680" s="669"/>
    </row>
    <row r="681" spans="1:17">
      <c r="B681" s="330"/>
      <c r="C681" s="542" t="s">
        <v>595</v>
      </c>
      <c r="D681" s="563"/>
      <c r="E681" s="542"/>
      <c r="F681" s="542"/>
      <c r="G681" s="542"/>
      <c r="H681" s="542"/>
      <c r="I681" s="646"/>
      <c r="J681" s="646"/>
      <c r="K681" s="669"/>
      <c r="L681" s="646"/>
      <c r="M681" s="646"/>
      <c r="N681" s="646"/>
      <c r="O681" s="646"/>
      <c r="Q681" s="669"/>
    </row>
    <row r="682" spans="1:17">
      <c r="B682" s="330"/>
      <c r="D682" s="563"/>
      <c r="E682" s="542"/>
      <c r="F682" s="542"/>
      <c r="G682" s="542"/>
      <c r="H682" s="542"/>
      <c r="I682" s="646"/>
      <c r="J682" s="646"/>
      <c r="K682" s="669"/>
      <c r="L682" s="646"/>
      <c r="M682" s="646"/>
      <c r="N682" s="646"/>
      <c r="O682" s="646"/>
      <c r="Q682" s="669"/>
    </row>
    <row r="683" spans="1:17">
      <c r="B683" s="330"/>
      <c r="C683" s="576" t="s">
        <v>596</v>
      </c>
      <c r="D683" s="673"/>
      <c r="E683" s="673"/>
      <c r="F683" s="673"/>
      <c r="G683" s="673"/>
      <c r="H683" s="669"/>
      <c r="I683" s="669"/>
      <c r="J683" s="674"/>
      <c r="K683" s="674"/>
      <c r="L683" s="674"/>
      <c r="M683" s="674"/>
      <c r="N683" s="674"/>
      <c r="O683" s="674"/>
      <c r="Q683" s="674"/>
    </row>
    <row r="684" spans="1:17">
      <c r="B684" s="330"/>
      <c r="C684" s="576" t="s">
        <v>476</v>
      </c>
      <c r="D684" s="673"/>
      <c r="E684" s="673"/>
      <c r="F684" s="673"/>
      <c r="G684" s="673"/>
      <c r="H684" s="669"/>
      <c r="I684" s="669"/>
      <c r="J684" s="674"/>
      <c r="K684" s="674"/>
      <c r="L684" s="674"/>
      <c r="M684" s="674"/>
      <c r="N684" s="674"/>
      <c r="O684" s="674"/>
      <c r="Q684" s="674"/>
    </row>
    <row r="685" spans="1:17">
      <c r="B685" s="330"/>
      <c r="C685" s="576" t="s">
        <v>289</v>
      </c>
      <c r="D685" s="673"/>
      <c r="E685" s="673"/>
      <c r="F685" s="673"/>
      <c r="G685" s="673"/>
      <c r="H685" s="669"/>
      <c r="I685" s="669"/>
      <c r="J685" s="674"/>
      <c r="K685" s="674"/>
      <c r="L685" s="674"/>
      <c r="M685" s="674"/>
      <c r="N685" s="674"/>
      <c r="O685" s="674"/>
      <c r="Q685" s="674"/>
    </row>
    <row r="686" spans="1:17">
      <c r="B686" s="330"/>
      <c r="C686" s="576"/>
      <c r="D686" s="673"/>
      <c r="E686" s="673"/>
      <c r="F686" s="673"/>
      <c r="G686" s="673"/>
      <c r="H686" s="669"/>
      <c r="I686" s="669"/>
      <c r="J686" s="674"/>
      <c r="K686" s="674"/>
      <c r="L686" s="674"/>
      <c r="M686" s="674"/>
      <c r="N686" s="674"/>
      <c r="O686" s="674"/>
      <c r="Q686" s="674"/>
    </row>
    <row r="687" spans="1:17">
      <c r="B687" s="330"/>
      <c r="C687" s="576"/>
      <c r="D687" s="673"/>
      <c r="E687" s="673"/>
      <c r="F687" s="673"/>
      <c r="G687" s="673"/>
      <c r="H687" s="669"/>
      <c r="I687" s="669"/>
      <c r="J687" s="674"/>
      <c r="K687" s="674"/>
      <c r="L687" s="674"/>
      <c r="M687" s="674"/>
      <c r="N687" s="674"/>
      <c r="O687" s="674"/>
      <c r="Q687" s="674"/>
    </row>
    <row r="688" spans="1:17" ht="20.25">
      <c r="A688" s="675" t="s">
        <v>764</v>
      </c>
      <c r="B688" s="542"/>
      <c r="C688" s="655"/>
      <c r="D688" s="563"/>
      <c r="E688" s="542"/>
      <c r="F688" s="645"/>
      <c r="G688" s="645"/>
      <c r="H688" s="542"/>
      <c r="I688" s="646"/>
      <c r="L688" s="676"/>
      <c r="M688" s="676"/>
      <c r="N688" s="676"/>
      <c r="O688" s="591" t="str">
        <f>"Page "&amp;SUM(Q$3:Q688)&amp;" of "</f>
        <v xml:space="preserve">Page 9 of </v>
      </c>
      <c r="P688" s="592">
        <f>COUNT(Q$8:Q$58212)</f>
        <v>23</v>
      </c>
      <c r="Q688" s="756">
        <v>1</v>
      </c>
    </row>
    <row r="689" spans="1:17">
      <c r="B689" s="542"/>
      <c r="C689" s="542"/>
      <c r="D689" s="563"/>
      <c r="E689" s="542"/>
      <c r="F689" s="542"/>
      <c r="G689" s="542"/>
      <c r="H689" s="542"/>
      <c r="I689" s="646"/>
      <c r="J689" s="542"/>
      <c r="K689" s="588"/>
      <c r="Q689" s="588"/>
    </row>
    <row r="690" spans="1:17" ht="18">
      <c r="B690" s="595" t="s">
        <v>174</v>
      </c>
      <c r="C690" s="677" t="s">
        <v>290</v>
      </c>
      <c r="D690" s="563"/>
      <c r="E690" s="542"/>
      <c r="F690" s="542"/>
      <c r="G690" s="542"/>
      <c r="H690" s="542"/>
      <c r="I690" s="646"/>
      <c r="J690" s="646"/>
      <c r="K690" s="669"/>
      <c r="L690" s="646"/>
      <c r="M690" s="646"/>
      <c r="N690" s="646"/>
      <c r="O690" s="646"/>
      <c r="Q690" s="669"/>
    </row>
    <row r="691" spans="1:17" ht="18.75">
      <c r="B691" s="595"/>
      <c r="C691" s="594"/>
      <c r="D691" s="563"/>
      <c r="E691" s="542"/>
      <c r="F691" s="542"/>
      <c r="G691" s="542"/>
      <c r="H691" s="542"/>
      <c r="I691" s="646"/>
      <c r="J691" s="646"/>
      <c r="K691" s="669"/>
      <c r="L691" s="646"/>
      <c r="M691" s="646"/>
      <c r="N691" s="646"/>
      <c r="O691" s="646"/>
      <c r="Q691" s="669"/>
    </row>
    <row r="692" spans="1:17" ht="18.75">
      <c r="B692" s="595"/>
      <c r="C692" s="594" t="s">
        <v>291</v>
      </c>
      <c r="D692" s="563"/>
      <c r="E692" s="542"/>
      <c r="F692" s="542"/>
      <c r="G692" s="542"/>
      <c r="H692" s="542"/>
      <c r="I692" s="646"/>
      <c r="J692" s="646"/>
      <c r="K692" s="669"/>
      <c r="L692" s="646"/>
      <c r="M692" s="646"/>
      <c r="N692" s="646"/>
      <c r="O692" s="646"/>
      <c r="Q692" s="669"/>
    </row>
    <row r="693" spans="1:17" ht="15.75" thickBot="1">
      <c r="B693" s="330"/>
      <c r="C693" s="396"/>
      <c r="D693" s="563"/>
      <c r="E693" s="542"/>
      <c r="F693" s="542"/>
      <c r="G693" s="542"/>
      <c r="H693" s="542"/>
      <c r="I693" s="646"/>
      <c r="J693" s="646"/>
      <c r="K693" s="669"/>
      <c r="L693" s="646"/>
      <c r="M693" s="646"/>
      <c r="N693" s="646"/>
      <c r="O693" s="646"/>
      <c r="Q693" s="669"/>
    </row>
    <row r="694" spans="1:17" ht="15.75">
      <c r="B694" s="330"/>
      <c r="C694" s="596" t="s">
        <v>292</v>
      </c>
      <c r="D694" s="563"/>
      <c r="E694" s="542"/>
      <c r="F694" s="542"/>
      <c r="G694" s="542"/>
      <c r="H694" s="864"/>
      <c r="I694" s="542" t="s">
        <v>271</v>
      </c>
      <c r="J694" s="542"/>
      <c r="K694" s="588"/>
      <c r="L694" s="757">
        <f>+J700</f>
        <v>2021</v>
      </c>
      <c r="M694" s="739" t="s">
        <v>254</v>
      </c>
      <c r="N694" s="739" t="s">
        <v>255</v>
      </c>
      <c r="O694" s="740" t="s">
        <v>256</v>
      </c>
      <c r="Q694" s="588"/>
    </row>
    <row r="695" spans="1:17" ht="15.75">
      <c r="B695" s="330"/>
      <c r="C695" s="596"/>
      <c r="D695" s="563"/>
      <c r="E695" s="542"/>
      <c r="F695" s="542"/>
      <c r="H695" s="542"/>
      <c r="I695" s="681"/>
      <c r="J695" s="681"/>
      <c r="K695" s="682"/>
      <c r="L695" s="758" t="s">
        <v>455</v>
      </c>
      <c r="M695" s="759">
        <f>VLOOKUP(J700,C707:P766,10)</f>
        <v>16407.482275028884</v>
      </c>
      <c r="N695" s="759">
        <f>VLOOKUP(J700,C707:P766,12)</f>
        <v>16407.482275028884</v>
      </c>
      <c r="O695" s="760">
        <f>+N695-M695</f>
        <v>0</v>
      </c>
      <c r="Q695" s="682"/>
    </row>
    <row r="696" spans="1:17" ht="12.95" customHeight="1">
      <c r="B696" s="330"/>
      <c r="C696" s="684" t="s">
        <v>293</v>
      </c>
      <c r="D696" s="1712" t="s">
        <v>941</v>
      </c>
      <c r="E696" s="1713"/>
      <c r="F696" s="1713"/>
      <c r="G696" s="1713"/>
      <c r="H696" s="1713"/>
      <c r="I696" s="1713"/>
      <c r="J696" s="646"/>
      <c r="K696" s="669"/>
      <c r="L696" s="758" t="s">
        <v>456</v>
      </c>
      <c r="M696" s="761">
        <f>VLOOKUP(J700,C707:P766,6)</f>
        <v>17370.462950218345</v>
      </c>
      <c r="N696" s="761">
        <f>VLOOKUP(J700,C707:P766,7)</f>
        <v>17370.462950218345</v>
      </c>
      <c r="O696" s="762">
        <f>+N696-M696</f>
        <v>0</v>
      </c>
      <c r="Q696" s="669"/>
    </row>
    <row r="697" spans="1:17" ht="13.5" thickBot="1">
      <c r="B697" s="330"/>
      <c r="C697" s="686"/>
      <c r="D697" s="1713"/>
      <c r="E697" s="1713"/>
      <c r="F697" s="1713"/>
      <c r="G697" s="1713"/>
      <c r="H697" s="1713"/>
      <c r="I697" s="1713"/>
      <c r="J697" s="646"/>
      <c r="K697" s="669"/>
      <c r="L697" s="705" t="s">
        <v>457</v>
      </c>
      <c r="M697" s="763">
        <f>+M696-M695</f>
        <v>962.98067518946118</v>
      </c>
      <c r="N697" s="763">
        <f>+N696-N695</f>
        <v>962.98067518946118</v>
      </c>
      <c r="O697" s="764">
        <f>+O696-O695</f>
        <v>0</v>
      </c>
      <c r="Q697" s="669"/>
    </row>
    <row r="698" spans="1:17" ht="13.5" thickBot="1">
      <c r="B698" s="330"/>
      <c r="C698" s="689"/>
      <c r="D698" s="690"/>
      <c r="E698" s="688"/>
      <c r="F698" s="688"/>
      <c r="G698" s="688"/>
      <c r="H698" s="688"/>
      <c r="I698" s="688"/>
      <c r="J698" s="688"/>
      <c r="K698" s="691"/>
      <c r="L698" s="688"/>
      <c r="M698" s="688"/>
      <c r="N698" s="688"/>
      <c r="O698" s="688"/>
      <c r="P698" s="576"/>
      <c r="Q698" s="691"/>
    </row>
    <row r="699" spans="1:17" ht="13.5" thickBot="1">
      <c r="B699" s="330"/>
      <c r="C699" s="692" t="s">
        <v>294</v>
      </c>
      <c r="D699" s="693"/>
      <c r="E699" s="693"/>
      <c r="F699" s="693"/>
      <c r="G699" s="693"/>
      <c r="H699" s="693"/>
      <c r="I699" s="693"/>
      <c r="J699" s="693"/>
      <c r="K699" s="695"/>
      <c r="P699" s="696"/>
      <c r="Q699" s="695"/>
    </row>
    <row r="700" spans="1:17" ht="15">
      <c r="A700" s="1310"/>
      <c r="B700" s="330"/>
      <c r="C700" s="697" t="s">
        <v>272</v>
      </c>
      <c r="D700" s="1253">
        <v>118332.36</v>
      </c>
      <c r="E700" s="655" t="s">
        <v>273</v>
      </c>
      <c r="H700" s="698"/>
      <c r="I700" s="698"/>
      <c r="J700" s="1451">
        <f>$J$95</f>
        <v>2021</v>
      </c>
      <c r="K700" s="586"/>
      <c r="L700" s="1717" t="s">
        <v>274</v>
      </c>
      <c r="M700" s="1717"/>
      <c r="N700" s="1717"/>
      <c r="O700" s="1717"/>
      <c r="P700" s="588"/>
      <c r="Q700" s="586"/>
    </row>
    <row r="701" spans="1:17">
      <c r="A701" s="1310"/>
      <c r="B701" s="330"/>
      <c r="C701" s="697" t="s">
        <v>275</v>
      </c>
      <c r="D701" s="865">
        <v>2013</v>
      </c>
      <c r="E701" s="697" t="s">
        <v>276</v>
      </c>
      <c r="F701" s="698"/>
      <c r="G701" s="698"/>
      <c r="I701" s="330"/>
      <c r="J701" s="867">
        <v>0</v>
      </c>
      <c r="K701" s="700"/>
      <c r="L701" s="669" t="s">
        <v>475</v>
      </c>
      <c r="P701" s="588"/>
      <c r="Q701" s="700"/>
    </row>
    <row r="702" spans="1:17">
      <c r="A702" s="1310"/>
      <c r="B702" s="330"/>
      <c r="C702" s="697" t="s">
        <v>277</v>
      </c>
      <c r="D702" s="1253">
        <v>1</v>
      </c>
      <c r="E702" s="697" t="s">
        <v>278</v>
      </c>
      <c r="F702" s="698"/>
      <c r="G702" s="698"/>
      <c r="I702" s="330"/>
      <c r="J702" s="701">
        <f>$F$70</f>
        <v>0.15341253840442806</v>
      </c>
      <c r="K702" s="702"/>
      <c r="L702" s="542" t="str">
        <f>"          INPUT TRUE-UP ARR (WITH &amp; WITHOUT INCENTIVES) FROM EACH PRIOR YEAR"</f>
        <v xml:space="preserve">          INPUT TRUE-UP ARR (WITH &amp; WITHOUT INCENTIVES) FROM EACH PRIOR YEAR</v>
      </c>
      <c r="P702" s="588"/>
      <c r="Q702" s="702"/>
    </row>
    <row r="703" spans="1:17">
      <c r="A703" s="1310"/>
      <c r="B703" s="330"/>
      <c r="C703" s="697" t="s">
        <v>279</v>
      </c>
      <c r="D703" s="703">
        <f>H79</f>
        <v>44</v>
      </c>
      <c r="E703" s="697" t="s">
        <v>280</v>
      </c>
      <c r="F703" s="698"/>
      <c r="G703" s="698"/>
      <c r="I703" s="330"/>
      <c r="J703" s="701">
        <f>IF(H694="",J702,$F$69)</f>
        <v>0.15341253840442806</v>
      </c>
      <c r="K703" s="704"/>
      <c r="L703" s="542" t="s">
        <v>362</v>
      </c>
      <c r="M703" s="704"/>
      <c r="N703" s="704"/>
      <c r="O703" s="704"/>
      <c r="P703" s="588"/>
      <c r="Q703" s="704"/>
    </row>
    <row r="704" spans="1:17" ht="13.5" thickBot="1">
      <c r="A704" s="1310"/>
      <c r="B704" s="330"/>
      <c r="C704" s="697" t="s">
        <v>281</v>
      </c>
      <c r="D704" s="866" t="s">
        <v>933</v>
      </c>
      <c r="E704" s="705" t="s">
        <v>282</v>
      </c>
      <c r="F704" s="706"/>
      <c r="G704" s="706"/>
      <c r="H704" s="707"/>
      <c r="I704" s="707"/>
      <c r="J704" s="685">
        <f>IF(D700=0,0,D700/D703)</f>
        <v>2689.3718181818181</v>
      </c>
      <c r="K704" s="669"/>
      <c r="L704" s="669" t="s">
        <v>363</v>
      </c>
      <c r="M704" s="669"/>
      <c r="N704" s="669"/>
      <c r="O704" s="669"/>
      <c r="P704" s="588"/>
      <c r="Q704" s="669"/>
    </row>
    <row r="705" spans="1:17" ht="38.25">
      <c r="A705" s="529"/>
      <c r="B705" s="529"/>
      <c r="C705" s="708" t="s">
        <v>272</v>
      </c>
      <c r="D705" s="709" t="s">
        <v>283</v>
      </c>
      <c r="E705" s="710" t="s">
        <v>284</v>
      </c>
      <c r="F705" s="709" t="s">
        <v>285</v>
      </c>
      <c r="G705" s="709" t="s">
        <v>458</v>
      </c>
      <c r="H705" s="710" t="s">
        <v>356</v>
      </c>
      <c r="I705" s="711" t="s">
        <v>356</v>
      </c>
      <c r="J705" s="708" t="s">
        <v>295</v>
      </c>
      <c r="K705" s="712"/>
      <c r="L705" s="710" t="s">
        <v>358</v>
      </c>
      <c r="M705" s="710" t="s">
        <v>364</v>
      </c>
      <c r="N705" s="710" t="s">
        <v>358</v>
      </c>
      <c r="O705" s="710" t="s">
        <v>366</v>
      </c>
      <c r="P705" s="710" t="s">
        <v>286</v>
      </c>
      <c r="Q705" s="713"/>
    </row>
    <row r="706" spans="1:17" ht="13.5" thickBot="1">
      <c r="B706" s="330"/>
      <c r="C706" s="714" t="s">
        <v>177</v>
      </c>
      <c r="D706" s="715" t="s">
        <v>178</v>
      </c>
      <c r="E706" s="714" t="s">
        <v>37</v>
      </c>
      <c r="F706" s="715" t="s">
        <v>178</v>
      </c>
      <c r="G706" s="715" t="s">
        <v>178</v>
      </c>
      <c r="H706" s="716" t="s">
        <v>298</v>
      </c>
      <c r="I706" s="717" t="s">
        <v>300</v>
      </c>
      <c r="J706" s="718" t="s">
        <v>389</v>
      </c>
      <c r="K706" s="719"/>
      <c r="L706" s="716" t="s">
        <v>287</v>
      </c>
      <c r="M706" s="716" t="s">
        <v>287</v>
      </c>
      <c r="N706" s="716" t="s">
        <v>467</v>
      </c>
      <c r="O706" s="716" t="s">
        <v>467</v>
      </c>
      <c r="P706" s="716" t="s">
        <v>467</v>
      </c>
      <c r="Q706" s="586"/>
    </row>
    <row r="707" spans="1:17">
      <c r="B707" s="330"/>
      <c r="C707" s="720">
        <f>IF(D701= "","-",D701)</f>
        <v>2013</v>
      </c>
      <c r="D707" s="673">
        <f>+D700</f>
        <v>118332.36</v>
      </c>
      <c r="E707" s="721">
        <f>+J704/12*(12-D702)</f>
        <v>2465.2574999999997</v>
      </c>
      <c r="F707" s="765">
        <f t="shared" ref="F707:F766" si="64">+D707-E707</f>
        <v>115867.10250000001</v>
      </c>
      <c r="G707" s="673">
        <f t="shared" ref="G707:G766" si="65">+(D707+F707)/2</f>
        <v>117099.73125000001</v>
      </c>
      <c r="H707" s="722">
        <f>+J702*G707+E707</f>
        <v>20429.824517538833</v>
      </c>
      <c r="I707" s="723">
        <f>+J703*G707+E707</f>
        <v>20429.824517538833</v>
      </c>
      <c r="J707" s="724">
        <f t="shared" ref="J707:J766" si="66">+I707-H707</f>
        <v>0</v>
      </c>
      <c r="K707" s="724"/>
      <c r="L707" s="728">
        <v>9.9999999999999995E-7</v>
      </c>
      <c r="M707" s="766">
        <f t="shared" ref="M707:M766" si="67">IF(L707&lt;&gt;0,+H707-L707,0)</f>
        <v>20429.824516538833</v>
      </c>
      <c r="N707" s="728">
        <v>9.9999999999999995E-7</v>
      </c>
      <c r="O707" s="766">
        <f t="shared" ref="O707:O766" si="68">IF(N707&lt;&gt;0,+I707-N707,0)</f>
        <v>20429.824516538833</v>
      </c>
      <c r="P707" s="766">
        <f t="shared" ref="P707:P766" si="69">+O707-M707</f>
        <v>0</v>
      </c>
      <c r="Q707" s="674"/>
    </row>
    <row r="708" spans="1:17">
      <c r="B708" s="330"/>
      <c r="C708" s="720">
        <f>IF(D701="","-",+C707+1)</f>
        <v>2014</v>
      </c>
      <c r="D708" s="673">
        <f t="shared" ref="D708:D766" si="70">F707</f>
        <v>115867.10250000001</v>
      </c>
      <c r="E708" s="726">
        <f>IF(D708&gt;$J$704,$J$704,D708)</f>
        <v>2689.3718181818181</v>
      </c>
      <c r="F708" s="726">
        <f t="shared" si="64"/>
        <v>113177.7306818182</v>
      </c>
      <c r="G708" s="673">
        <f t="shared" si="65"/>
        <v>114522.4165909091</v>
      </c>
      <c r="H708" s="721">
        <f>+J702*G708+E708</f>
        <v>20258.546451602568</v>
      </c>
      <c r="I708" s="727">
        <f>+J703*G708+E708</f>
        <v>20258.546451602568</v>
      </c>
      <c r="J708" s="724">
        <f t="shared" si="66"/>
        <v>0</v>
      </c>
      <c r="K708" s="724"/>
      <c r="L708" s="728">
        <v>25862</v>
      </c>
      <c r="M708" s="724">
        <f t="shared" si="67"/>
        <v>-5603.4535483974323</v>
      </c>
      <c r="N708" s="728">
        <v>25862</v>
      </c>
      <c r="O708" s="724">
        <f t="shared" si="68"/>
        <v>-5603.4535483974323</v>
      </c>
      <c r="P708" s="724">
        <f t="shared" si="69"/>
        <v>0</v>
      </c>
      <c r="Q708" s="674"/>
    </row>
    <row r="709" spans="1:17">
      <c r="B709" s="330"/>
      <c r="C709" s="720">
        <f>IF(D701="","-",+C708+1)</f>
        <v>2015</v>
      </c>
      <c r="D709" s="673">
        <f t="shared" si="70"/>
        <v>113177.7306818182</v>
      </c>
      <c r="E709" s="726">
        <f t="shared" ref="E709:E766" si="71">IF(D709&gt;$J$704,$J$704,D709)</f>
        <v>2689.3718181818181</v>
      </c>
      <c r="F709" s="726">
        <f t="shared" si="64"/>
        <v>110488.35886363639</v>
      </c>
      <c r="G709" s="673">
        <f t="shared" si="65"/>
        <v>111833.0447727273</v>
      </c>
      <c r="H709" s="721">
        <f>+J702*G709+E709</f>
        <v>19845.96309426197</v>
      </c>
      <c r="I709" s="727">
        <f>+J703*G709+E709</f>
        <v>19845.96309426197</v>
      </c>
      <c r="J709" s="724">
        <f t="shared" si="66"/>
        <v>0</v>
      </c>
      <c r="K709" s="724"/>
      <c r="L709" s="728">
        <v>17942</v>
      </c>
      <c r="M709" s="724">
        <f t="shared" si="67"/>
        <v>1903.9630942619697</v>
      </c>
      <c r="N709" s="728">
        <v>17942</v>
      </c>
      <c r="O709" s="724">
        <f t="shared" si="68"/>
        <v>1903.9630942619697</v>
      </c>
      <c r="P709" s="724">
        <f t="shared" si="69"/>
        <v>0</v>
      </c>
      <c r="Q709" s="674"/>
    </row>
    <row r="710" spans="1:17">
      <c r="B710" s="330"/>
      <c r="C710" s="720">
        <f>IF(D701="","-",+C709+1)</f>
        <v>2016</v>
      </c>
      <c r="D710" s="673">
        <f t="shared" si="70"/>
        <v>110488.35886363639</v>
      </c>
      <c r="E710" s="726">
        <f t="shared" si="71"/>
        <v>2689.3718181818181</v>
      </c>
      <c r="F710" s="726">
        <f t="shared" si="64"/>
        <v>107798.98704545457</v>
      </c>
      <c r="G710" s="673">
        <f t="shared" si="65"/>
        <v>109143.67295454547</v>
      </c>
      <c r="H710" s="721">
        <f>+J702*G710+E710</f>
        <v>19433.379736921361</v>
      </c>
      <c r="I710" s="727">
        <f>+J703*G710+E710</f>
        <v>19433.379736921361</v>
      </c>
      <c r="J710" s="724">
        <f t="shared" si="66"/>
        <v>0</v>
      </c>
      <c r="K710" s="724"/>
      <c r="L710" s="728">
        <v>22706</v>
      </c>
      <c r="M710" s="724">
        <f t="shared" si="67"/>
        <v>-3272.6202630786393</v>
      </c>
      <c r="N710" s="728">
        <v>22706</v>
      </c>
      <c r="O710" s="724">
        <f t="shared" si="68"/>
        <v>-3272.6202630786393</v>
      </c>
      <c r="P710" s="724">
        <f t="shared" si="69"/>
        <v>0</v>
      </c>
      <c r="Q710" s="674"/>
    </row>
    <row r="711" spans="1:17">
      <c r="B711" s="330"/>
      <c r="C711" s="720">
        <f>IF(D701="","-",+C710+1)</f>
        <v>2017</v>
      </c>
      <c r="D711" s="673">
        <f t="shared" si="70"/>
        <v>107798.98704545457</v>
      </c>
      <c r="E711" s="726">
        <f t="shared" si="71"/>
        <v>2689.3718181818181</v>
      </c>
      <c r="F711" s="726">
        <f t="shared" si="64"/>
        <v>105109.61522727276</v>
      </c>
      <c r="G711" s="673">
        <f t="shared" si="65"/>
        <v>106454.30113636368</v>
      </c>
      <c r="H711" s="721">
        <f>+J702*G711+E711</f>
        <v>19020.796379580759</v>
      </c>
      <c r="I711" s="727">
        <f>+J703*G711+E711</f>
        <v>19020.796379580759</v>
      </c>
      <c r="J711" s="724">
        <f t="shared" si="66"/>
        <v>0</v>
      </c>
      <c r="K711" s="724"/>
      <c r="L711" s="728">
        <v>22935</v>
      </c>
      <c r="M711" s="724">
        <f t="shared" si="67"/>
        <v>-3914.2036204192409</v>
      </c>
      <c r="N711" s="728">
        <v>22935</v>
      </c>
      <c r="O711" s="724">
        <f t="shared" si="68"/>
        <v>-3914.2036204192409</v>
      </c>
      <c r="P711" s="724">
        <f t="shared" si="69"/>
        <v>0</v>
      </c>
      <c r="Q711" s="674"/>
    </row>
    <row r="712" spans="1:17">
      <c r="B712" s="330"/>
      <c r="C712" s="720">
        <f>IF(D701="","-",+C711+1)</f>
        <v>2018</v>
      </c>
      <c r="D712" s="1455">
        <f t="shared" si="70"/>
        <v>105109.61522727276</v>
      </c>
      <c r="E712" s="726">
        <f t="shared" si="71"/>
        <v>2689.3718181818181</v>
      </c>
      <c r="F712" s="726">
        <f t="shared" si="64"/>
        <v>102420.24340909095</v>
      </c>
      <c r="G712" s="673">
        <f t="shared" si="65"/>
        <v>103764.92931818185</v>
      </c>
      <c r="H712" s="721">
        <f>+J702*G712+E712</f>
        <v>18608.213022240154</v>
      </c>
      <c r="I712" s="727">
        <f>+J703*G712+E712</f>
        <v>18608.213022240154</v>
      </c>
      <c r="J712" s="724">
        <f t="shared" si="66"/>
        <v>0</v>
      </c>
      <c r="K712" s="724"/>
      <c r="L712" s="728">
        <v>18387</v>
      </c>
      <c r="M712" s="724">
        <f t="shared" si="67"/>
        <v>221.2130222401538</v>
      </c>
      <c r="N712" s="728">
        <v>18387</v>
      </c>
      <c r="O712" s="724">
        <f t="shared" si="68"/>
        <v>221.2130222401538</v>
      </c>
      <c r="P712" s="724">
        <f t="shared" si="69"/>
        <v>0</v>
      </c>
      <c r="Q712" s="674"/>
    </row>
    <row r="713" spans="1:17">
      <c r="B713" s="330"/>
      <c r="C713" s="720">
        <f>IF(D701="","-",+C712+1)</f>
        <v>2019</v>
      </c>
      <c r="D713" s="1269">
        <f t="shared" si="70"/>
        <v>102420.24340909095</v>
      </c>
      <c r="E713" s="726">
        <f t="shared" si="71"/>
        <v>2689.3718181818181</v>
      </c>
      <c r="F713" s="726">
        <f t="shared" si="64"/>
        <v>99730.871590909141</v>
      </c>
      <c r="G713" s="673">
        <f t="shared" si="65"/>
        <v>101075.55750000005</v>
      </c>
      <c r="H713" s="721">
        <f>+J702*G713+E713</f>
        <v>18195.629664899552</v>
      </c>
      <c r="I713" s="727">
        <f>+J703*G713+E713</f>
        <v>18195.629664899552</v>
      </c>
      <c r="J713" s="724">
        <f t="shared" si="66"/>
        <v>0</v>
      </c>
      <c r="K713" s="724"/>
      <c r="L713" s="1452">
        <v>17870</v>
      </c>
      <c r="M713" s="724">
        <f t="shared" si="67"/>
        <v>325.62966489955215</v>
      </c>
      <c r="N713" s="1452">
        <v>17870</v>
      </c>
      <c r="O713" s="724">
        <f t="shared" si="68"/>
        <v>325.62966489955215</v>
      </c>
      <c r="P713" s="724">
        <f t="shared" si="69"/>
        <v>0</v>
      </c>
      <c r="Q713" s="674"/>
    </row>
    <row r="714" spans="1:17">
      <c r="B714" s="330"/>
      <c r="C714" s="720">
        <f>IF(D701="","-",+C713+1)</f>
        <v>2020</v>
      </c>
      <c r="D714" s="673">
        <f t="shared" si="70"/>
        <v>99730.871590909141</v>
      </c>
      <c r="E714" s="726">
        <f t="shared" si="71"/>
        <v>2689.3718181818181</v>
      </c>
      <c r="F714" s="726">
        <f t="shared" si="64"/>
        <v>97041.499772727329</v>
      </c>
      <c r="G714" s="673">
        <f t="shared" si="65"/>
        <v>98386.185681818228</v>
      </c>
      <c r="H714" s="721">
        <f>+J702*G714+E714</f>
        <v>17783.046307558947</v>
      </c>
      <c r="I714" s="727">
        <f>+J703*G714+E714</f>
        <v>17783.046307558947</v>
      </c>
      <c r="J714" s="724">
        <f t="shared" si="66"/>
        <v>0</v>
      </c>
      <c r="K714" s="724"/>
      <c r="L714" s="728">
        <v>17206.845783786517</v>
      </c>
      <c r="M714" s="724">
        <f t="shared" si="67"/>
        <v>576.20052377242973</v>
      </c>
      <c r="N714" s="1548">
        <v>17206.845783786517</v>
      </c>
      <c r="O714" s="724">
        <f t="shared" si="68"/>
        <v>576.20052377242973</v>
      </c>
      <c r="P714" s="724">
        <f t="shared" si="69"/>
        <v>0</v>
      </c>
      <c r="Q714" s="674"/>
    </row>
    <row r="715" spans="1:17">
      <c r="B715" s="330"/>
      <c r="C715" s="720">
        <f>IF(D701="","-",+C714+1)</f>
        <v>2021</v>
      </c>
      <c r="D715" s="673">
        <f t="shared" si="70"/>
        <v>97041.499772727329</v>
      </c>
      <c r="E715" s="726">
        <f t="shared" si="71"/>
        <v>2689.3718181818181</v>
      </c>
      <c r="F715" s="726">
        <f t="shared" si="64"/>
        <v>94352.127954545518</v>
      </c>
      <c r="G715" s="673">
        <f t="shared" si="65"/>
        <v>95696.813863636431</v>
      </c>
      <c r="H715" s="721">
        <f>+J702*G715+E715</f>
        <v>17370.462950218345</v>
      </c>
      <c r="I715" s="727">
        <f>+J703*G715+E715</f>
        <v>17370.462950218345</v>
      </c>
      <c r="J715" s="724">
        <f t="shared" si="66"/>
        <v>0</v>
      </c>
      <c r="K715" s="724"/>
      <c r="L715" s="728">
        <v>16407.482275028884</v>
      </c>
      <c r="M715" s="724">
        <f t="shared" si="67"/>
        <v>962.98067518946118</v>
      </c>
      <c r="N715" s="1548">
        <v>16407.482275028884</v>
      </c>
      <c r="O715" s="724">
        <f t="shared" si="68"/>
        <v>962.98067518946118</v>
      </c>
      <c r="P715" s="724">
        <f t="shared" si="69"/>
        <v>0</v>
      </c>
      <c r="Q715" s="674"/>
    </row>
    <row r="716" spans="1:17">
      <c r="B716" s="330"/>
      <c r="C716" s="1291">
        <f>IF(D701="","-",+C715+1)</f>
        <v>2022</v>
      </c>
      <c r="D716" s="673">
        <f t="shared" si="70"/>
        <v>94352.127954545518</v>
      </c>
      <c r="E716" s="726">
        <f t="shared" si="71"/>
        <v>2689.3718181818181</v>
      </c>
      <c r="F716" s="726">
        <f t="shared" si="64"/>
        <v>91662.756136363707</v>
      </c>
      <c r="G716" s="673">
        <f t="shared" si="65"/>
        <v>93007.442045454605</v>
      </c>
      <c r="H716" s="721">
        <f>+J702*G716+E716</f>
        <v>16957.87959287774</v>
      </c>
      <c r="I716" s="727">
        <f>+J703*G716+E716</f>
        <v>16957.87959287774</v>
      </c>
      <c r="J716" s="724">
        <f t="shared" si="66"/>
        <v>0</v>
      </c>
      <c r="K716" s="724"/>
      <c r="L716" s="728">
        <v>0</v>
      </c>
      <c r="M716" s="724">
        <f t="shared" si="67"/>
        <v>0</v>
      </c>
      <c r="N716" s="728">
        <v>0</v>
      </c>
      <c r="O716" s="724">
        <f t="shared" si="68"/>
        <v>0</v>
      </c>
      <c r="P716" s="724">
        <f t="shared" si="69"/>
        <v>0</v>
      </c>
      <c r="Q716" s="674"/>
    </row>
    <row r="717" spans="1:17">
      <c r="B717" s="330"/>
      <c r="C717" s="720">
        <f>IF(D701="","-",+C716+1)</f>
        <v>2023</v>
      </c>
      <c r="D717" s="673">
        <f t="shared" si="70"/>
        <v>91662.756136363707</v>
      </c>
      <c r="E717" s="726">
        <f t="shared" si="71"/>
        <v>2689.3718181818181</v>
      </c>
      <c r="F717" s="726">
        <f t="shared" si="64"/>
        <v>88973.384318181896</v>
      </c>
      <c r="G717" s="673">
        <f t="shared" si="65"/>
        <v>90318.070227272809</v>
      </c>
      <c r="H717" s="721">
        <f>+J702*G717+E717</f>
        <v>16545.296235537138</v>
      </c>
      <c r="I717" s="727">
        <f>+J703*G717+E717</f>
        <v>16545.296235537138</v>
      </c>
      <c r="J717" s="724">
        <f t="shared" si="66"/>
        <v>0</v>
      </c>
      <c r="K717" s="724"/>
      <c r="L717" s="728"/>
      <c r="M717" s="724">
        <f t="shared" si="67"/>
        <v>0</v>
      </c>
      <c r="N717" s="728"/>
      <c r="O717" s="724">
        <f t="shared" si="68"/>
        <v>0</v>
      </c>
      <c r="P717" s="724">
        <f t="shared" si="69"/>
        <v>0</v>
      </c>
      <c r="Q717" s="674"/>
    </row>
    <row r="718" spans="1:17">
      <c r="B718" s="330"/>
      <c r="C718" s="720">
        <f>IF(D701="","-",+C717+1)</f>
        <v>2024</v>
      </c>
      <c r="D718" s="673">
        <f t="shared" si="70"/>
        <v>88973.384318181896</v>
      </c>
      <c r="E718" s="726">
        <f t="shared" si="71"/>
        <v>2689.3718181818181</v>
      </c>
      <c r="F718" s="726">
        <f t="shared" si="64"/>
        <v>86284.012500000084</v>
      </c>
      <c r="G718" s="673">
        <f t="shared" si="65"/>
        <v>87628.698409090983</v>
      </c>
      <c r="H718" s="721">
        <f>+J702*G718+E718</f>
        <v>16132.712878196533</v>
      </c>
      <c r="I718" s="727">
        <f>+J703*G718+E718</f>
        <v>16132.712878196533</v>
      </c>
      <c r="J718" s="724">
        <f t="shared" si="66"/>
        <v>0</v>
      </c>
      <c r="K718" s="724"/>
      <c r="L718" s="728"/>
      <c r="M718" s="724">
        <f t="shared" si="67"/>
        <v>0</v>
      </c>
      <c r="N718" s="728"/>
      <c r="O718" s="724">
        <f t="shared" si="68"/>
        <v>0</v>
      </c>
      <c r="P718" s="724">
        <f t="shared" si="69"/>
        <v>0</v>
      </c>
      <c r="Q718" s="674"/>
    </row>
    <row r="719" spans="1:17">
      <c r="B719" s="330"/>
      <c r="C719" s="720">
        <f>IF(D701="","-",+C718+1)</f>
        <v>2025</v>
      </c>
      <c r="D719" s="673">
        <f t="shared" si="70"/>
        <v>86284.012500000084</v>
      </c>
      <c r="E719" s="726">
        <f t="shared" si="71"/>
        <v>2689.3718181818181</v>
      </c>
      <c r="F719" s="726">
        <f t="shared" si="64"/>
        <v>83594.640681818273</v>
      </c>
      <c r="G719" s="673">
        <f t="shared" si="65"/>
        <v>84939.326590909186</v>
      </c>
      <c r="H719" s="721">
        <f>+J702*G719+E719</f>
        <v>15720.129520855931</v>
      </c>
      <c r="I719" s="727">
        <f>+J703*G719+E719</f>
        <v>15720.129520855931</v>
      </c>
      <c r="J719" s="724">
        <f t="shared" si="66"/>
        <v>0</v>
      </c>
      <c r="K719" s="724"/>
      <c r="L719" s="728"/>
      <c r="M719" s="724">
        <f t="shared" si="67"/>
        <v>0</v>
      </c>
      <c r="N719" s="728"/>
      <c r="O719" s="724">
        <f t="shared" si="68"/>
        <v>0</v>
      </c>
      <c r="P719" s="724">
        <f t="shared" si="69"/>
        <v>0</v>
      </c>
      <c r="Q719" s="674"/>
    </row>
    <row r="720" spans="1:17">
      <c r="B720" s="330"/>
      <c r="C720" s="720">
        <f>IF(D701="","-",+C719+1)</f>
        <v>2026</v>
      </c>
      <c r="D720" s="673">
        <f t="shared" si="70"/>
        <v>83594.640681818273</v>
      </c>
      <c r="E720" s="726">
        <f t="shared" si="71"/>
        <v>2689.3718181818181</v>
      </c>
      <c r="F720" s="726">
        <f t="shared" si="64"/>
        <v>80905.268863636462</v>
      </c>
      <c r="G720" s="673">
        <f t="shared" si="65"/>
        <v>82249.95477272736</v>
      </c>
      <c r="H720" s="721">
        <f>+J702*G720+E720</f>
        <v>15307.546163515326</v>
      </c>
      <c r="I720" s="727">
        <f>+J703*G720+E720</f>
        <v>15307.546163515326</v>
      </c>
      <c r="J720" s="724">
        <f t="shared" si="66"/>
        <v>0</v>
      </c>
      <c r="K720" s="724"/>
      <c r="L720" s="728"/>
      <c r="M720" s="724">
        <f t="shared" si="67"/>
        <v>0</v>
      </c>
      <c r="N720" s="728"/>
      <c r="O720" s="724">
        <f t="shared" si="68"/>
        <v>0</v>
      </c>
      <c r="P720" s="724">
        <f t="shared" si="69"/>
        <v>0</v>
      </c>
      <c r="Q720" s="674"/>
    </row>
    <row r="721" spans="2:17">
      <c r="B721" s="330"/>
      <c r="C721" s="720">
        <f>IF(D701="","-",+C720+1)</f>
        <v>2027</v>
      </c>
      <c r="D721" s="673">
        <f t="shared" si="70"/>
        <v>80905.268863636462</v>
      </c>
      <c r="E721" s="726">
        <f t="shared" si="71"/>
        <v>2689.3718181818181</v>
      </c>
      <c r="F721" s="726">
        <f t="shared" si="64"/>
        <v>78215.897045454651</v>
      </c>
      <c r="G721" s="673">
        <f t="shared" si="65"/>
        <v>79560.582954545564</v>
      </c>
      <c r="H721" s="721">
        <f>+J702*G721+E721</f>
        <v>14894.962806174724</v>
      </c>
      <c r="I721" s="727">
        <f>+J703*G721+E721</f>
        <v>14894.962806174724</v>
      </c>
      <c r="J721" s="724">
        <f t="shared" si="66"/>
        <v>0</v>
      </c>
      <c r="K721" s="724"/>
      <c r="L721" s="728"/>
      <c r="M721" s="724">
        <f t="shared" si="67"/>
        <v>0</v>
      </c>
      <c r="N721" s="728"/>
      <c r="O721" s="724">
        <f t="shared" si="68"/>
        <v>0</v>
      </c>
      <c r="P721" s="724">
        <f t="shared" si="69"/>
        <v>0</v>
      </c>
      <c r="Q721" s="674"/>
    </row>
    <row r="722" spans="2:17">
      <c r="B722" s="330"/>
      <c r="C722" s="720">
        <f>IF(D701="","-",+C721+1)</f>
        <v>2028</v>
      </c>
      <c r="D722" s="673">
        <f t="shared" si="70"/>
        <v>78215.897045454651</v>
      </c>
      <c r="E722" s="726">
        <f t="shared" si="71"/>
        <v>2689.3718181818181</v>
      </c>
      <c r="F722" s="726">
        <f t="shared" si="64"/>
        <v>75526.525227272839</v>
      </c>
      <c r="G722" s="673">
        <f t="shared" si="65"/>
        <v>76871.211136363738</v>
      </c>
      <c r="H722" s="721">
        <f>+J702*G722+E722</f>
        <v>14482.379448834119</v>
      </c>
      <c r="I722" s="727">
        <f>+J703*G722+E722</f>
        <v>14482.379448834119</v>
      </c>
      <c r="J722" s="724">
        <f t="shared" si="66"/>
        <v>0</v>
      </c>
      <c r="K722" s="724"/>
      <c r="L722" s="728"/>
      <c r="M722" s="724">
        <f t="shared" si="67"/>
        <v>0</v>
      </c>
      <c r="N722" s="728"/>
      <c r="O722" s="724">
        <f t="shared" si="68"/>
        <v>0</v>
      </c>
      <c r="P722" s="724">
        <f t="shared" si="69"/>
        <v>0</v>
      </c>
      <c r="Q722" s="674"/>
    </row>
    <row r="723" spans="2:17">
      <c r="B723" s="330"/>
      <c r="C723" s="720">
        <f>IF(D701="","-",+C722+1)</f>
        <v>2029</v>
      </c>
      <c r="D723" s="673">
        <f t="shared" si="70"/>
        <v>75526.525227272839</v>
      </c>
      <c r="E723" s="726">
        <f t="shared" si="71"/>
        <v>2689.3718181818181</v>
      </c>
      <c r="F723" s="726">
        <f t="shared" si="64"/>
        <v>72837.153409091028</v>
      </c>
      <c r="G723" s="673">
        <f t="shared" si="65"/>
        <v>74181.839318181941</v>
      </c>
      <c r="H723" s="721">
        <f>+J702*G723+E723</f>
        <v>14069.796091493517</v>
      </c>
      <c r="I723" s="727">
        <f>+J703*G723+E723</f>
        <v>14069.796091493517</v>
      </c>
      <c r="J723" s="724">
        <f t="shared" si="66"/>
        <v>0</v>
      </c>
      <c r="K723" s="724"/>
      <c r="L723" s="728"/>
      <c r="M723" s="724">
        <f t="shared" si="67"/>
        <v>0</v>
      </c>
      <c r="N723" s="728"/>
      <c r="O723" s="724">
        <f t="shared" si="68"/>
        <v>0</v>
      </c>
      <c r="P723" s="724">
        <f t="shared" si="69"/>
        <v>0</v>
      </c>
      <c r="Q723" s="674"/>
    </row>
    <row r="724" spans="2:17">
      <c r="B724" s="330"/>
      <c r="C724" s="720">
        <f>IF(D701="","-",+C723+1)</f>
        <v>2030</v>
      </c>
      <c r="D724" s="673">
        <f t="shared" si="70"/>
        <v>72837.153409091028</v>
      </c>
      <c r="E724" s="726">
        <f t="shared" si="71"/>
        <v>2689.3718181818181</v>
      </c>
      <c r="F724" s="726">
        <f t="shared" si="64"/>
        <v>70147.781590909217</v>
      </c>
      <c r="G724" s="673">
        <f t="shared" si="65"/>
        <v>71492.467500000115</v>
      </c>
      <c r="H724" s="721">
        <f>+J702*G724+E724</f>
        <v>13657.212734152912</v>
      </c>
      <c r="I724" s="727">
        <f>+J703*G724+E724</f>
        <v>13657.212734152912</v>
      </c>
      <c r="J724" s="724">
        <f t="shared" si="66"/>
        <v>0</v>
      </c>
      <c r="K724" s="724"/>
      <c r="L724" s="728"/>
      <c r="M724" s="724">
        <f t="shared" si="67"/>
        <v>0</v>
      </c>
      <c r="N724" s="728"/>
      <c r="O724" s="724">
        <f t="shared" si="68"/>
        <v>0</v>
      </c>
      <c r="P724" s="724">
        <f t="shared" si="69"/>
        <v>0</v>
      </c>
      <c r="Q724" s="674"/>
    </row>
    <row r="725" spans="2:17">
      <c r="B725" s="330"/>
      <c r="C725" s="720">
        <f>IF(D701="","-",+C724+1)</f>
        <v>2031</v>
      </c>
      <c r="D725" s="673">
        <f t="shared" si="70"/>
        <v>70147.781590909217</v>
      </c>
      <c r="E725" s="726">
        <f t="shared" si="71"/>
        <v>2689.3718181818181</v>
      </c>
      <c r="F725" s="726">
        <f t="shared" si="64"/>
        <v>67458.409772727406</v>
      </c>
      <c r="G725" s="673">
        <f t="shared" si="65"/>
        <v>68803.095681818319</v>
      </c>
      <c r="H725" s="721">
        <f>+J702*G725+E725</f>
        <v>13244.629376812311</v>
      </c>
      <c r="I725" s="727">
        <f>+J703*G725+E725</f>
        <v>13244.629376812311</v>
      </c>
      <c r="J725" s="724">
        <f t="shared" si="66"/>
        <v>0</v>
      </c>
      <c r="K725" s="724"/>
      <c r="L725" s="728"/>
      <c r="M725" s="724">
        <f t="shared" si="67"/>
        <v>0</v>
      </c>
      <c r="N725" s="728"/>
      <c r="O725" s="724">
        <f t="shared" si="68"/>
        <v>0</v>
      </c>
      <c r="P725" s="724">
        <f t="shared" si="69"/>
        <v>0</v>
      </c>
      <c r="Q725" s="674"/>
    </row>
    <row r="726" spans="2:17">
      <c r="B726" s="330"/>
      <c r="C726" s="720">
        <f>IF(D701="","-",+C725+1)</f>
        <v>2032</v>
      </c>
      <c r="D726" s="673">
        <f t="shared" si="70"/>
        <v>67458.409772727406</v>
      </c>
      <c r="E726" s="726">
        <f t="shared" si="71"/>
        <v>2689.3718181818181</v>
      </c>
      <c r="F726" s="726">
        <f t="shared" si="64"/>
        <v>64769.037954545587</v>
      </c>
      <c r="G726" s="673">
        <f t="shared" si="65"/>
        <v>66113.723863636493</v>
      </c>
      <c r="H726" s="721">
        <f>+J702*G726+E726</f>
        <v>12832.046019471703</v>
      </c>
      <c r="I726" s="727">
        <f>+J703*G726+E726</f>
        <v>12832.046019471703</v>
      </c>
      <c r="J726" s="724">
        <f t="shared" si="66"/>
        <v>0</v>
      </c>
      <c r="K726" s="724"/>
      <c r="L726" s="728"/>
      <c r="M726" s="724">
        <f t="shared" si="67"/>
        <v>0</v>
      </c>
      <c r="N726" s="728"/>
      <c r="O726" s="724">
        <f t="shared" si="68"/>
        <v>0</v>
      </c>
      <c r="P726" s="724">
        <f t="shared" si="69"/>
        <v>0</v>
      </c>
      <c r="Q726" s="674"/>
    </row>
    <row r="727" spans="2:17">
      <c r="B727" s="330"/>
      <c r="C727" s="720">
        <f>IF(D701="","-",+C726+1)</f>
        <v>2033</v>
      </c>
      <c r="D727" s="673">
        <f t="shared" si="70"/>
        <v>64769.037954545587</v>
      </c>
      <c r="E727" s="726">
        <f t="shared" si="71"/>
        <v>2689.3718181818181</v>
      </c>
      <c r="F727" s="726">
        <f t="shared" si="64"/>
        <v>62079.666136363769</v>
      </c>
      <c r="G727" s="673">
        <f t="shared" si="65"/>
        <v>63424.352045454682</v>
      </c>
      <c r="H727" s="721">
        <f>+J702*G727+E727</f>
        <v>12419.4626621311</v>
      </c>
      <c r="I727" s="727">
        <f>+J703*G727+E727</f>
        <v>12419.4626621311</v>
      </c>
      <c r="J727" s="724">
        <f t="shared" si="66"/>
        <v>0</v>
      </c>
      <c r="K727" s="724"/>
      <c r="L727" s="728"/>
      <c r="M727" s="724">
        <f t="shared" si="67"/>
        <v>0</v>
      </c>
      <c r="N727" s="728"/>
      <c r="O727" s="724">
        <f t="shared" si="68"/>
        <v>0</v>
      </c>
      <c r="P727" s="724">
        <f t="shared" si="69"/>
        <v>0</v>
      </c>
      <c r="Q727" s="674"/>
    </row>
    <row r="728" spans="2:17">
      <c r="B728" s="330"/>
      <c r="C728" s="720">
        <f>IF(D701="","-",+C727+1)</f>
        <v>2034</v>
      </c>
      <c r="D728" s="673">
        <f t="shared" si="70"/>
        <v>62079.666136363769</v>
      </c>
      <c r="E728" s="726">
        <f t="shared" si="71"/>
        <v>2689.3718181818181</v>
      </c>
      <c r="F728" s="726">
        <f t="shared" si="64"/>
        <v>59390.29431818195</v>
      </c>
      <c r="G728" s="673">
        <f t="shared" si="65"/>
        <v>60734.980227272856</v>
      </c>
      <c r="H728" s="721">
        <f>+J702*G728+E728</f>
        <v>12006.879304790495</v>
      </c>
      <c r="I728" s="727">
        <f>+J703*G728+E728</f>
        <v>12006.879304790495</v>
      </c>
      <c r="J728" s="724">
        <f t="shared" si="66"/>
        <v>0</v>
      </c>
      <c r="K728" s="724"/>
      <c r="L728" s="728"/>
      <c r="M728" s="724">
        <f t="shared" si="67"/>
        <v>0</v>
      </c>
      <c r="N728" s="728"/>
      <c r="O728" s="724">
        <f t="shared" si="68"/>
        <v>0</v>
      </c>
      <c r="P728" s="724">
        <f t="shared" si="69"/>
        <v>0</v>
      </c>
      <c r="Q728" s="674"/>
    </row>
    <row r="729" spans="2:17">
      <c r="B729" s="330"/>
      <c r="C729" s="720">
        <f>IF(D701="","-",+C728+1)</f>
        <v>2035</v>
      </c>
      <c r="D729" s="673">
        <f t="shared" si="70"/>
        <v>59390.29431818195</v>
      </c>
      <c r="E729" s="726">
        <f t="shared" si="71"/>
        <v>2689.3718181818181</v>
      </c>
      <c r="F729" s="726">
        <f t="shared" si="64"/>
        <v>56700.922500000132</v>
      </c>
      <c r="G729" s="673">
        <f t="shared" si="65"/>
        <v>58045.608409091044</v>
      </c>
      <c r="H729" s="721">
        <f>+J702*G729+E729</f>
        <v>11594.295947449891</v>
      </c>
      <c r="I729" s="727">
        <f>+J703*G729+E729</f>
        <v>11594.295947449891</v>
      </c>
      <c r="J729" s="724">
        <f t="shared" si="66"/>
        <v>0</v>
      </c>
      <c r="K729" s="724"/>
      <c r="L729" s="728"/>
      <c r="M729" s="724">
        <f t="shared" si="67"/>
        <v>0</v>
      </c>
      <c r="N729" s="728"/>
      <c r="O729" s="724">
        <f t="shared" si="68"/>
        <v>0</v>
      </c>
      <c r="P729" s="724">
        <f t="shared" si="69"/>
        <v>0</v>
      </c>
      <c r="Q729" s="674"/>
    </row>
    <row r="730" spans="2:17">
      <c r="B730" s="330"/>
      <c r="C730" s="720">
        <f>IF(D701="","-",+C729+1)</f>
        <v>2036</v>
      </c>
      <c r="D730" s="673">
        <f t="shared" si="70"/>
        <v>56700.922500000132</v>
      </c>
      <c r="E730" s="726">
        <f t="shared" si="71"/>
        <v>2689.3718181818181</v>
      </c>
      <c r="F730" s="726">
        <f t="shared" si="64"/>
        <v>54011.550681818313</v>
      </c>
      <c r="G730" s="673">
        <f t="shared" si="65"/>
        <v>55356.236590909219</v>
      </c>
      <c r="H730" s="721">
        <f>+J702*G730+E730</f>
        <v>11181.712590109284</v>
      </c>
      <c r="I730" s="727">
        <f>+J703*G730+E730</f>
        <v>11181.712590109284</v>
      </c>
      <c r="J730" s="724">
        <f t="shared" si="66"/>
        <v>0</v>
      </c>
      <c r="K730" s="724"/>
      <c r="L730" s="728"/>
      <c r="M730" s="724">
        <f t="shared" si="67"/>
        <v>0</v>
      </c>
      <c r="N730" s="728"/>
      <c r="O730" s="724">
        <f t="shared" si="68"/>
        <v>0</v>
      </c>
      <c r="P730" s="724">
        <f t="shared" si="69"/>
        <v>0</v>
      </c>
      <c r="Q730" s="674"/>
    </row>
    <row r="731" spans="2:17">
      <c r="B731" s="330"/>
      <c r="C731" s="720">
        <f>IF(D701="","-",+C730+1)</f>
        <v>2037</v>
      </c>
      <c r="D731" s="673">
        <f t="shared" si="70"/>
        <v>54011.550681818313</v>
      </c>
      <c r="E731" s="726">
        <f t="shared" si="71"/>
        <v>2689.3718181818181</v>
      </c>
      <c r="F731" s="726">
        <f t="shared" si="64"/>
        <v>51322.178863636494</v>
      </c>
      <c r="G731" s="673">
        <f t="shared" si="65"/>
        <v>52666.864772727407</v>
      </c>
      <c r="H731" s="721">
        <f>+J702*G731+E731</f>
        <v>10769.129232768681</v>
      </c>
      <c r="I731" s="727">
        <f>+J703*G731+E731</f>
        <v>10769.129232768681</v>
      </c>
      <c r="J731" s="724">
        <f t="shared" si="66"/>
        <v>0</v>
      </c>
      <c r="K731" s="724"/>
      <c r="L731" s="728"/>
      <c r="M731" s="724">
        <f t="shared" si="67"/>
        <v>0</v>
      </c>
      <c r="N731" s="728"/>
      <c r="O731" s="724">
        <f t="shared" si="68"/>
        <v>0</v>
      </c>
      <c r="P731" s="724">
        <f t="shared" si="69"/>
        <v>0</v>
      </c>
      <c r="Q731" s="674"/>
    </row>
    <row r="732" spans="2:17">
      <c r="B732" s="330"/>
      <c r="C732" s="720">
        <f>IF(D701="","-",+C731+1)</f>
        <v>2038</v>
      </c>
      <c r="D732" s="673">
        <f t="shared" si="70"/>
        <v>51322.178863636494</v>
      </c>
      <c r="E732" s="726">
        <f t="shared" si="71"/>
        <v>2689.3718181818181</v>
      </c>
      <c r="F732" s="726">
        <f t="shared" si="64"/>
        <v>48632.807045454676</v>
      </c>
      <c r="G732" s="673">
        <f t="shared" si="65"/>
        <v>49977.492954545582</v>
      </c>
      <c r="H732" s="721">
        <f>+J702*G732+E732</f>
        <v>10356.545875428075</v>
      </c>
      <c r="I732" s="727">
        <f>+J703*G732+E732</f>
        <v>10356.545875428075</v>
      </c>
      <c r="J732" s="724">
        <f t="shared" si="66"/>
        <v>0</v>
      </c>
      <c r="K732" s="724"/>
      <c r="L732" s="728"/>
      <c r="M732" s="724">
        <f t="shared" si="67"/>
        <v>0</v>
      </c>
      <c r="N732" s="728"/>
      <c r="O732" s="724">
        <f t="shared" si="68"/>
        <v>0</v>
      </c>
      <c r="P732" s="724">
        <f t="shared" si="69"/>
        <v>0</v>
      </c>
      <c r="Q732" s="674"/>
    </row>
    <row r="733" spans="2:17">
      <c r="B733" s="330"/>
      <c r="C733" s="720">
        <f>IF(D701="","-",+C732+1)</f>
        <v>2039</v>
      </c>
      <c r="D733" s="673">
        <f t="shared" si="70"/>
        <v>48632.807045454676</v>
      </c>
      <c r="E733" s="726">
        <f t="shared" si="71"/>
        <v>2689.3718181818181</v>
      </c>
      <c r="F733" s="726">
        <f t="shared" si="64"/>
        <v>45943.435227272857</v>
      </c>
      <c r="G733" s="673">
        <f t="shared" si="65"/>
        <v>47288.12113636377</v>
      </c>
      <c r="H733" s="721">
        <f>+J702*G733+E733</f>
        <v>9943.9625180874718</v>
      </c>
      <c r="I733" s="727">
        <f>+J703*G733+E733</f>
        <v>9943.9625180874718</v>
      </c>
      <c r="J733" s="724">
        <f t="shared" si="66"/>
        <v>0</v>
      </c>
      <c r="K733" s="724"/>
      <c r="L733" s="728"/>
      <c r="M733" s="724">
        <f t="shared" si="67"/>
        <v>0</v>
      </c>
      <c r="N733" s="728"/>
      <c r="O733" s="724">
        <f t="shared" si="68"/>
        <v>0</v>
      </c>
      <c r="P733" s="724">
        <f t="shared" si="69"/>
        <v>0</v>
      </c>
      <c r="Q733" s="674"/>
    </row>
    <row r="734" spans="2:17">
      <c r="B734" s="330"/>
      <c r="C734" s="720">
        <f>IF(D701="","-",+C733+1)</f>
        <v>2040</v>
      </c>
      <c r="D734" s="673">
        <f t="shared" si="70"/>
        <v>45943.435227272857</v>
      </c>
      <c r="E734" s="726">
        <f t="shared" si="71"/>
        <v>2689.3718181818181</v>
      </c>
      <c r="F734" s="726">
        <f t="shared" si="64"/>
        <v>43254.063409091039</v>
      </c>
      <c r="G734" s="673">
        <f t="shared" si="65"/>
        <v>44598.749318181945</v>
      </c>
      <c r="H734" s="721">
        <f>+J702*G734+E734</f>
        <v>9531.3791607468647</v>
      </c>
      <c r="I734" s="727">
        <f>+J703*G734+E734</f>
        <v>9531.3791607468647</v>
      </c>
      <c r="J734" s="724">
        <f t="shared" si="66"/>
        <v>0</v>
      </c>
      <c r="K734" s="724"/>
      <c r="L734" s="728"/>
      <c r="M734" s="724">
        <f t="shared" si="67"/>
        <v>0</v>
      </c>
      <c r="N734" s="728"/>
      <c r="O734" s="724">
        <f t="shared" si="68"/>
        <v>0</v>
      </c>
      <c r="P734" s="724">
        <f t="shared" si="69"/>
        <v>0</v>
      </c>
      <c r="Q734" s="674"/>
    </row>
    <row r="735" spans="2:17">
      <c r="B735" s="330"/>
      <c r="C735" s="720">
        <f>IF(D701="","-",+C734+1)</f>
        <v>2041</v>
      </c>
      <c r="D735" s="673">
        <f t="shared" si="70"/>
        <v>43254.063409091039</v>
      </c>
      <c r="E735" s="726">
        <f t="shared" si="71"/>
        <v>2689.3718181818181</v>
      </c>
      <c r="F735" s="726">
        <f t="shared" si="64"/>
        <v>40564.69159090922</v>
      </c>
      <c r="G735" s="673">
        <f t="shared" si="65"/>
        <v>41909.377500000133</v>
      </c>
      <c r="H735" s="721">
        <f>+J702*G735+E735</f>
        <v>9118.7958034062613</v>
      </c>
      <c r="I735" s="727">
        <f>+J703*G735+E735</f>
        <v>9118.7958034062613</v>
      </c>
      <c r="J735" s="724">
        <f t="shared" si="66"/>
        <v>0</v>
      </c>
      <c r="K735" s="724"/>
      <c r="L735" s="728"/>
      <c r="M735" s="724">
        <f t="shared" si="67"/>
        <v>0</v>
      </c>
      <c r="N735" s="728"/>
      <c r="O735" s="724">
        <f t="shared" si="68"/>
        <v>0</v>
      </c>
      <c r="P735" s="724">
        <f t="shared" si="69"/>
        <v>0</v>
      </c>
      <c r="Q735" s="674"/>
    </row>
    <row r="736" spans="2:17">
      <c r="B736" s="330"/>
      <c r="C736" s="720">
        <f>IF(D701="","-",+C735+1)</f>
        <v>2042</v>
      </c>
      <c r="D736" s="673">
        <f t="shared" si="70"/>
        <v>40564.69159090922</v>
      </c>
      <c r="E736" s="726">
        <f t="shared" si="71"/>
        <v>2689.3718181818181</v>
      </c>
      <c r="F736" s="726">
        <f t="shared" si="64"/>
        <v>37875.319772727402</v>
      </c>
      <c r="G736" s="673">
        <f t="shared" si="65"/>
        <v>39220.005681818307</v>
      </c>
      <c r="H736" s="721">
        <f>+J702*G736+E736</f>
        <v>8706.212446065656</v>
      </c>
      <c r="I736" s="727">
        <f>+J703*G736+E736</f>
        <v>8706.212446065656</v>
      </c>
      <c r="J736" s="724">
        <f t="shared" si="66"/>
        <v>0</v>
      </c>
      <c r="K736" s="724"/>
      <c r="L736" s="728"/>
      <c r="M736" s="724">
        <f t="shared" si="67"/>
        <v>0</v>
      </c>
      <c r="N736" s="728"/>
      <c r="O736" s="724">
        <f t="shared" si="68"/>
        <v>0</v>
      </c>
      <c r="P736" s="724">
        <f t="shared" si="69"/>
        <v>0</v>
      </c>
      <c r="Q736" s="674"/>
    </row>
    <row r="737" spans="2:17">
      <c r="B737" s="330"/>
      <c r="C737" s="720">
        <f>IF(D701="","-",+C736+1)</f>
        <v>2043</v>
      </c>
      <c r="D737" s="673">
        <f t="shared" si="70"/>
        <v>37875.319772727402</v>
      </c>
      <c r="E737" s="726">
        <f t="shared" si="71"/>
        <v>2689.3718181818181</v>
      </c>
      <c r="F737" s="726">
        <f t="shared" si="64"/>
        <v>35185.947954545583</v>
      </c>
      <c r="G737" s="673">
        <f t="shared" si="65"/>
        <v>36530.633863636496</v>
      </c>
      <c r="H737" s="721">
        <f>+J702*G737+E737</f>
        <v>8293.6290887250525</v>
      </c>
      <c r="I737" s="727">
        <f>+J703*G737+E737</f>
        <v>8293.6290887250525</v>
      </c>
      <c r="J737" s="724">
        <f t="shared" si="66"/>
        <v>0</v>
      </c>
      <c r="K737" s="724"/>
      <c r="L737" s="728"/>
      <c r="M737" s="724">
        <f t="shared" si="67"/>
        <v>0</v>
      </c>
      <c r="N737" s="728"/>
      <c r="O737" s="724">
        <f t="shared" si="68"/>
        <v>0</v>
      </c>
      <c r="P737" s="724">
        <f t="shared" si="69"/>
        <v>0</v>
      </c>
      <c r="Q737" s="674"/>
    </row>
    <row r="738" spans="2:17">
      <c r="B738" s="330"/>
      <c r="C738" s="720">
        <f>IF(D701="","-",+C737+1)</f>
        <v>2044</v>
      </c>
      <c r="D738" s="673">
        <f t="shared" si="70"/>
        <v>35185.947954545583</v>
      </c>
      <c r="E738" s="726">
        <f t="shared" si="71"/>
        <v>2689.3718181818181</v>
      </c>
      <c r="F738" s="726">
        <f t="shared" si="64"/>
        <v>32496.576136363765</v>
      </c>
      <c r="G738" s="673">
        <f t="shared" si="65"/>
        <v>33841.26204545467</v>
      </c>
      <c r="H738" s="721">
        <f>+J702*G738+E738</f>
        <v>7881.0457313844472</v>
      </c>
      <c r="I738" s="727">
        <f>+J703*G738+E738</f>
        <v>7881.0457313844472</v>
      </c>
      <c r="J738" s="724">
        <f t="shared" si="66"/>
        <v>0</v>
      </c>
      <c r="K738" s="724"/>
      <c r="L738" s="728"/>
      <c r="M738" s="724">
        <f t="shared" si="67"/>
        <v>0</v>
      </c>
      <c r="N738" s="728"/>
      <c r="O738" s="724">
        <f t="shared" si="68"/>
        <v>0</v>
      </c>
      <c r="P738" s="724">
        <f t="shared" si="69"/>
        <v>0</v>
      </c>
      <c r="Q738" s="674"/>
    </row>
    <row r="739" spans="2:17">
      <c r="B739" s="330"/>
      <c r="C739" s="720">
        <f>IF(D701="","-",+C738+1)</f>
        <v>2045</v>
      </c>
      <c r="D739" s="673">
        <f t="shared" si="70"/>
        <v>32496.576136363765</v>
      </c>
      <c r="E739" s="726">
        <f t="shared" si="71"/>
        <v>2689.3718181818181</v>
      </c>
      <c r="F739" s="726">
        <f t="shared" si="64"/>
        <v>29807.204318181946</v>
      </c>
      <c r="G739" s="673">
        <f t="shared" si="65"/>
        <v>31151.890227272856</v>
      </c>
      <c r="H739" s="721">
        <f>+J702*G739+E739</f>
        <v>7468.4623740438419</v>
      </c>
      <c r="I739" s="727">
        <f>+J703*G739+E739</f>
        <v>7468.4623740438419</v>
      </c>
      <c r="J739" s="724">
        <f t="shared" si="66"/>
        <v>0</v>
      </c>
      <c r="K739" s="724"/>
      <c r="L739" s="728"/>
      <c r="M739" s="724">
        <f t="shared" si="67"/>
        <v>0</v>
      </c>
      <c r="N739" s="728"/>
      <c r="O739" s="724">
        <f t="shared" si="68"/>
        <v>0</v>
      </c>
      <c r="P739" s="724">
        <f t="shared" si="69"/>
        <v>0</v>
      </c>
      <c r="Q739" s="674"/>
    </row>
    <row r="740" spans="2:17">
      <c r="B740" s="330"/>
      <c r="C740" s="720">
        <f>IF(D701="","-",+C739+1)</f>
        <v>2046</v>
      </c>
      <c r="D740" s="673">
        <f t="shared" si="70"/>
        <v>29807.204318181946</v>
      </c>
      <c r="E740" s="726">
        <f t="shared" si="71"/>
        <v>2689.3718181818181</v>
      </c>
      <c r="F740" s="726">
        <f t="shared" si="64"/>
        <v>27117.832500000128</v>
      </c>
      <c r="G740" s="673">
        <f t="shared" si="65"/>
        <v>28462.518409091037</v>
      </c>
      <c r="H740" s="721">
        <f>+J702*G740+E740</f>
        <v>7055.8790167032366</v>
      </c>
      <c r="I740" s="727">
        <f>+J703*G740+E740</f>
        <v>7055.8790167032366</v>
      </c>
      <c r="J740" s="724">
        <f t="shared" si="66"/>
        <v>0</v>
      </c>
      <c r="K740" s="724"/>
      <c r="L740" s="728"/>
      <c r="M740" s="724">
        <f t="shared" si="67"/>
        <v>0</v>
      </c>
      <c r="N740" s="728"/>
      <c r="O740" s="724">
        <f t="shared" si="68"/>
        <v>0</v>
      </c>
      <c r="P740" s="724">
        <f t="shared" si="69"/>
        <v>0</v>
      </c>
      <c r="Q740" s="674"/>
    </row>
    <row r="741" spans="2:17">
      <c r="B741" s="330"/>
      <c r="C741" s="720">
        <f>IF(D701="","-",+C740+1)</f>
        <v>2047</v>
      </c>
      <c r="D741" s="673">
        <f t="shared" si="70"/>
        <v>27117.832500000128</v>
      </c>
      <c r="E741" s="726">
        <f t="shared" si="71"/>
        <v>2689.3718181818181</v>
      </c>
      <c r="F741" s="726">
        <f t="shared" si="64"/>
        <v>24428.460681818309</v>
      </c>
      <c r="G741" s="673">
        <f t="shared" si="65"/>
        <v>25773.146590909219</v>
      </c>
      <c r="H741" s="721">
        <f>+J702*G741+E741</f>
        <v>6643.2956593626332</v>
      </c>
      <c r="I741" s="727">
        <f>+J703*G741+E741</f>
        <v>6643.2956593626332</v>
      </c>
      <c r="J741" s="724">
        <f t="shared" si="66"/>
        <v>0</v>
      </c>
      <c r="K741" s="724"/>
      <c r="L741" s="728"/>
      <c r="M741" s="724">
        <f t="shared" si="67"/>
        <v>0</v>
      </c>
      <c r="N741" s="728"/>
      <c r="O741" s="724">
        <f t="shared" si="68"/>
        <v>0</v>
      </c>
      <c r="P741" s="724">
        <f t="shared" si="69"/>
        <v>0</v>
      </c>
      <c r="Q741" s="674"/>
    </row>
    <row r="742" spans="2:17">
      <c r="B742" s="330"/>
      <c r="C742" s="720">
        <f>IF(D701="","-",+C741+1)</f>
        <v>2048</v>
      </c>
      <c r="D742" s="673">
        <f t="shared" si="70"/>
        <v>24428.460681818309</v>
      </c>
      <c r="E742" s="726">
        <f t="shared" si="71"/>
        <v>2689.3718181818181</v>
      </c>
      <c r="F742" s="726">
        <f t="shared" si="64"/>
        <v>21739.088863636491</v>
      </c>
      <c r="G742" s="673">
        <f t="shared" si="65"/>
        <v>23083.7747727274</v>
      </c>
      <c r="H742" s="721">
        <f>+J702*G742+E742</f>
        <v>6230.7123020220279</v>
      </c>
      <c r="I742" s="727">
        <f>+J703*G742+E742</f>
        <v>6230.7123020220279</v>
      </c>
      <c r="J742" s="724">
        <f t="shared" si="66"/>
        <v>0</v>
      </c>
      <c r="K742" s="724"/>
      <c r="L742" s="728"/>
      <c r="M742" s="724">
        <f t="shared" si="67"/>
        <v>0</v>
      </c>
      <c r="N742" s="728"/>
      <c r="O742" s="724">
        <f t="shared" si="68"/>
        <v>0</v>
      </c>
      <c r="P742" s="724">
        <f t="shared" si="69"/>
        <v>0</v>
      </c>
      <c r="Q742" s="674"/>
    </row>
    <row r="743" spans="2:17">
      <c r="B743" s="330"/>
      <c r="C743" s="720">
        <f>IF(D701="","-",+C742+1)</f>
        <v>2049</v>
      </c>
      <c r="D743" s="673">
        <f t="shared" si="70"/>
        <v>21739.088863636491</v>
      </c>
      <c r="E743" s="726">
        <f t="shared" si="71"/>
        <v>2689.3718181818181</v>
      </c>
      <c r="F743" s="726">
        <f t="shared" si="64"/>
        <v>19049.717045454672</v>
      </c>
      <c r="G743" s="673">
        <f t="shared" si="65"/>
        <v>20394.402954545581</v>
      </c>
      <c r="H743" s="721">
        <f>+J702*G743+E743</f>
        <v>5818.1289446814226</v>
      </c>
      <c r="I743" s="727">
        <f>+J703*G743+E743</f>
        <v>5818.1289446814226</v>
      </c>
      <c r="J743" s="724">
        <f t="shared" si="66"/>
        <v>0</v>
      </c>
      <c r="K743" s="724"/>
      <c r="L743" s="728"/>
      <c r="M743" s="724">
        <f t="shared" si="67"/>
        <v>0</v>
      </c>
      <c r="N743" s="728"/>
      <c r="O743" s="724">
        <f t="shared" si="68"/>
        <v>0</v>
      </c>
      <c r="P743" s="724">
        <f t="shared" si="69"/>
        <v>0</v>
      </c>
      <c r="Q743" s="674"/>
    </row>
    <row r="744" spans="2:17">
      <c r="B744" s="330"/>
      <c r="C744" s="720">
        <f>IF(D701="","-",+C743+1)</f>
        <v>2050</v>
      </c>
      <c r="D744" s="673">
        <f t="shared" si="70"/>
        <v>19049.717045454672</v>
      </c>
      <c r="E744" s="726">
        <f t="shared" si="71"/>
        <v>2689.3718181818181</v>
      </c>
      <c r="F744" s="726">
        <f t="shared" si="64"/>
        <v>16360.345227272854</v>
      </c>
      <c r="G744" s="673">
        <f t="shared" si="65"/>
        <v>17705.031136363763</v>
      </c>
      <c r="H744" s="721">
        <f>+J702*G744+E744</f>
        <v>5405.5455873408191</v>
      </c>
      <c r="I744" s="727">
        <f>+J703*G744+E744</f>
        <v>5405.5455873408191</v>
      </c>
      <c r="J744" s="724">
        <f t="shared" si="66"/>
        <v>0</v>
      </c>
      <c r="K744" s="724"/>
      <c r="L744" s="728"/>
      <c r="M744" s="724">
        <f t="shared" si="67"/>
        <v>0</v>
      </c>
      <c r="N744" s="728"/>
      <c r="O744" s="724">
        <f t="shared" si="68"/>
        <v>0</v>
      </c>
      <c r="P744" s="724">
        <f t="shared" si="69"/>
        <v>0</v>
      </c>
      <c r="Q744" s="674"/>
    </row>
    <row r="745" spans="2:17">
      <c r="B745" s="330"/>
      <c r="C745" s="720">
        <f>IF(D701="","-",+C744+1)</f>
        <v>2051</v>
      </c>
      <c r="D745" s="673">
        <f t="shared" si="70"/>
        <v>16360.345227272854</v>
      </c>
      <c r="E745" s="726">
        <f t="shared" si="71"/>
        <v>2689.3718181818181</v>
      </c>
      <c r="F745" s="726">
        <f t="shared" si="64"/>
        <v>13670.973409091035</v>
      </c>
      <c r="G745" s="673">
        <f t="shared" si="65"/>
        <v>15015.659318181944</v>
      </c>
      <c r="H745" s="721">
        <f>+J702*G745+E745</f>
        <v>4992.9622300002138</v>
      </c>
      <c r="I745" s="727">
        <f>+J703*G745+E745</f>
        <v>4992.9622300002138</v>
      </c>
      <c r="J745" s="724">
        <f t="shared" si="66"/>
        <v>0</v>
      </c>
      <c r="K745" s="724"/>
      <c r="L745" s="728"/>
      <c r="M745" s="724">
        <f t="shared" si="67"/>
        <v>0</v>
      </c>
      <c r="N745" s="728"/>
      <c r="O745" s="724">
        <f t="shared" si="68"/>
        <v>0</v>
      </c>
      <c r="P745" s="724">
        <f t="shared" si="69"/>
        <v>0</v>
      </c>
      <c r="Q745" s="674"/>
    </row>
    <row r="746" spans="2:17">
      <c r="B746" s="330"/>
      <c r="C746" s="720">
        <f>IF(D701="","-",+C745+1)</f>
        <v>2052</v>
      </c>
      <c r="D746" s="673">
        <f t="shared" si="70"/>
        <v>13670.973409091035</v>
      </c>
      <c r="E746" s="726">
        <f t="shared" si="71"/>
        <v>2689.3718181818181</v>
      </c>
      <c r="F746" s="726">
        <f t="shared" si="64"/>
        <v>10981.601590909217</v>
      </c>
      <c r="G746" s="673">
        <f t="shared" si="65"/>
        <v>12326.287500000126</v>
      </c>
      <c r="H746" s="721">
        <f>+J702*G746+E746</f>
        <v>4580.3788726596085</v>
      </c>
      <c r="I746" s="727">
        <f>+J703*G746+E746</f>
        <v>4580.3788726596085</v>
      </c>
      <c r="J746" s="724">
        <f t="shared" si="66"/>
        <v>0</v>
      </c>
      <c r="K746" s="724"/>
      <c r="L746" s="728"/>
      <c r="M746" s="724">
        <f t="shared" si="67"/>
        <v>0</v>
      </c>
      <c r="N746" s="728"/>
      <c r="O746" s="724">
        <f t="shared" si="68"/>
        <v>0</v>
      </c>
      <c r="P746" s="724">
        <f t="shared" si="69"/>
        <v>0</v>
      </c>
      <c r="Q746" s="674"/>
    </row>
    <row r="747" spans="2:17">
      <c r="B747" s="330"/>
      <c r="C747" s="720">
        <f>IF(D701="","-",+C746+1)</f>
        <v>2053</v>
      </c>
      <c r="D747" s="673">
        <f t="shared" si="70"/>
        <v>10981.601590909217</v>
      </c>
      <c r="E747" s="726">
        <f t="shared" si="71"/>
        <v>2689.3718181818181</v>
      </c>
      <c r="F747" s="726">
        <f t="shared" si="64"/>
        <v>8292.2297727273981</v>
      </c>
      <c r="G747" s="673">
        <f t="shared" si="65"/>
        <v>9636.9156818183073</v>
      </c>
      <c r="H747" s="721">
        <f>+J702*G747+E747</f>
        <v>4167.7955153190042</v>
      </c>
      <c r="I747" s="727">
        <f>+J703*G747+E747</f>
        <v>4167.7955153190042</v>
      </c>
      <c r="J747" s="724">
        <f t="shared" si="66"/>
        <v>0</v>
      </c>
      <c r="K747" s="724"/>
      <c r="L747" s="728"/>
      <c r="M747" s="724">
        <f t="shared" si="67"/>
        <v>0</v>
      </c>
      <c r="N747" s="728"/>
      <c r="O747" s="724">
        <f t="shared" si="68"/>
        <v>0</v>
      </c>
      <c r="P747" s="724">
        <f t="shared" si="69"/>
        <v>0</v>
      </c>
      <c r="Q747" s="674"/>
    </row>
    <row r="748" spans="2:17">
      <c r="B748" s="330"/>
      <c r="C748" s="720">
        <f>IF(D701="","-",+C747+1)</f>
        <v>2054</v>
      </c>
      <c r="D748" s="673">
        <f t="shared" si="70"/>
        <v>8292.2297727273981</v>
      </c>
      <c r="E748" s="726">
        <f t="shared" si="71"/>
        <v>2689.3718181818181</v>
      </c>
      <c r="F748" s="726">
        <f t="shared" si="64"/>
        <v>5602.8579545455796</v>
      </c>
      <c r="G748" s="673">
        <f t="shared" si="65"/>
        <v>6947.5438636364888</v>
      </c>
      <c r="H748" s="721">
        <f>+J702*G748+E748</f>
        <v>3755.2121579783993</v>
      </c>
      <c r="I748" s="727">
        <f>+J703*G748+E748</f>
        <v>3755.2121579783993</v>
      </c>
      <c r="J748" s="724">
        <f t="shared" si="66"/>
        <v>0</v>
      </c>
      <c r="K748" s="724"/>
      <c r="L748" s="728"/>
      <c r="M748" s="724">
        <f t="shared" si="67"/>
        <v>0</v>
      </c>
      <c r="N748" s="728"/>
      <c r="O748" s="724">
        <f t="shared" si="68"/>
        <v>0</v>
      </c>
      <c r="P748" s="724">
        <f t="shared" si="69"/>
        <v>0</v>
      </c>
      <c r="Q748" s="674"/>
    </row>
    <row r="749" spans="2:17">
      <c r="B749" s="330"/>
      <c r="C749" s="720">
        <f>IF(D701="","-",+C748+1)</f>
        <v>2055</v>
      </c>
      <c r="D749" s="673">
        <f t="shared" si="70"/>
        <v>5602.8579545455796</v>
      </c>
      <c r="E749" s="726">
        <f t="shared" si="71"/>
        <v>2689.3718181818181</v>
      </c>
      <c r="F749" s="726">
        <f t="shared" si="64"/>
        <v>2913.4861363637615</v>
      </c>
      <c r="G749" s="673">
        <f t="shared" si="65"/>
        <v>4258.1720454546703</v>
      </c>
      <c r="H749" s="721">
        <f>+J702*G749+E749</f>
        <v>3342.6288006377945</v>
      </c>
      <c r="I749" s="727">
        <f>+J703*G749+E749</f>
        <v>3342.6288006377945</v>
      </c>
      <c r="J749" s="724">
        <f t="shared" si="66"/>
        <v>0</v>
      </c>
      <c r="K749" s="724"/>
      <c r="L749" s="728"/>
      <c r="M749" s="724">
        <f t="shared" si="67"/>
        <v>0</v>
      </c>
      <c r="N749" s="728"/>
      <c r="O749" s="724">
        <f t="shared" si="68"/>
        <v>0</v>
      </c>
      <c r="P749" s="724">
        <f t="shared" si="69"/>
        <v>0</v>
      </c>
      <c r="Q749" s="674"/>
    </row>
    <row r="750" spans="2:17">
      <c r="B750" s="330"/>
      <c r="C750" s="720">
        <f>IF(D701="","-",+C749+1)</f>
        <v>2056</v>
      </c>
      <c r="D750" s="673">
        <f t="shared" si="70"/>
        <v>2913.4861363637615</v>
      </c>
      <c r="E750" s="726">
        <f t="shared" si="71"/>
        <v>2689.3718181818181</v>
      </c>
      <c r="F750" s="726">
        <f t="shared" si="64"/>
        <v>224.11431818194342</v>
      </c>
      <c r="G750" s="673">
        <f t="shared" si="65"/>
        <v>1568.8002272728525</v>
      </c>
      <c r="H750" s="721">
        <f>+J702*G750+E750</f>
        <v>2930.0454432971901</v>
      </c>
      <c r="I750" s="727">
        <f>+J703*G750+E750</f>
        <v>2930.0454432971901</v>
      </c>
      <c r="J750" s="724">
        <f t="shared" si="66"/>
        <v>0</v>
      </c>
      <c r="K750" s="724"/>
      <c r="L750" s="728"/>
      <c r="M750" s="724">
        <f t="shared" si="67"/>
        <v>0</v>
      </c>
      <c r="N750" s="728"/>
      <c r="O750" s="724">
        <f t="shared" si="68"/>
        <v>0</v>
      </c>
      <c r="P750" s="724">
        <f t="shared" si="69"/>
        <v>0</v>
      </c>
      <c r="Q750" s="674"/>
    </row>
    <row r="751" spans="2:17">
      <c r="B751" s="330"/>
      <c r="C751" s="720">
        <f>IF(D701="","-",+C750+1)</f>
        <v>2057</v>
      </c>
      <c r="D751" s="673">
        <f t="shared" si="70"/>
        <v>224.11431818194342</v>
      </c>
      <c r="E751" s="726">
        <f t="shared" si="71"/>
        <v>224.11431818194342</v>
      </c>
      <c r="F751" s="726">
        <f t="shared" si="64"/>
        <v>0</v>
      </c>
      <c r="G751" s="673">
        <f t="shared" si="65"/>
        <v>112.05715909097171</v>
      </c>
      <c r="H751" s="721">
        <f>+J702*G751+E751</f>
        <v>241.30529140447823</v>
      </c>
      <c r="I751" s="727">
        <f>+J703*G751+E751</f>
        <v>241.30529140447823</v>
      </c>
      <c r="J751" s="724">
        <f t="shared" si="66"/>
        <v>0</v>
      </c>
      <c r="K751" s="724"/>
      <c r="L751" s="728"/>
      <c r="M751" s="724">
        <f t="shared" si="67"/>
        <v>0</v>
      </c>
      <c r="N751" s="728"/>
      <c r="O751" s="724">
        <f t="shared" si="68"/>
        <v>0</v>
      </c>
      <c r="P751" s="724">
        <f t="shared" si="69"/>
        <v>0</v>
      </c>
      <c r="Q751" s="674"/>
    </row>
    <row r="752" spans="2:17">
      <c r="B752" s="330"/>
      <c r="C752" s="720">
        <f>IF(D701="","-",+C751+1)</f>
        <v>2058</v>
      </c>
      <c r="D752" s="673">
        <f t="shared" si="70"/>
        <v>0</v>
      </c>
      <c r="E752" s="726">
        <f t="shared" si="71"/>
        <v>0</v>
      </c>
      <c r="F752" s="726">
        <f t="shared" si="64"/>
        <v>0</v>
      </c>
      <c r="G752" s="673">
        <f t="shared" si="65"/>
        <v>0</v>
      </c>
      <c r="H752" s="721">
        <f>+J702*G752+E752</f>
        <v>0</v>
      </c>
      <c r="I752" s="727">
        <f>+J703*G752+E752</f>
        <v>0</v>
      </c>
      <c r="J752" s="724">
        <f t="shared" si="66"/>
        <v>0</v>
      </c>
      <c r="K752" s="724"/>
      <c r="L752" s="728"/>
      <c r="M752" s="724">
        <f t="shared" si="67"/>
        <v>0</v>
      </c>
      <c r="N752" s="728"/>
      <c r="O752" s="724">
        <f t="shared" si="68"/>
        <v>0</v>
      </c>
      <c r="P752" s="724">
        <f t="shared" si="69"/>
        <v>0</v>
      </c>
      <c r="Q752" s="674"/>
    </row>
    <row r="753" spans="2:17">
      <c r="B753" s="330"/>
      <c r="C753" s="720">
        <f>IF(D701="","-",+C752+1)</f>
        <v>2059</v>
      </c>
      <c r="D753" s="673">
        <f t="shared" si="70"/>
        <v>0</v>
      </c>
      <c r="E753" s="726">
        <f t="shared" si="71"/>
        <v>0</v>
      </c>
      <c r="F753" s="726">
        <f t="shared" si="64"/>
        <v>0</v>
      </c>
      <c r="G753" s="673">
        <f t="shared" si="65"/>
        <v>0</v>
      </c>
      <c r="H753" s="721">
        <f>+J702*G753+E753</f>
        <v>0</v>
      </c>
      <c r="I753" s="727">
        <f>+J703*G753+E753</f>
        <v>0</v>
      </c>
      <c r="J753" s="724">
        <f t="shared" si="66"/>
        <v>0</v>
      </c>
      <c r="K753" s="724"/>
      <c r="L753" s="728"/>
      <c r="M753" s="724">
        <f t="shared" si="67"/>
        <v>0</v>
      </c>
      <c r="N753" s="728"/>
      <c r="O753" s="724">
        <f t="shared" si="68"/>
        <v>0</v>
      </c>
      <c r="P753" s="724">
        <f t="shared" si="69"/>
        <v>0</v>
      </c>
      <c r="Q753" s="674"/>
    </row>
    <row r="754" spans="2:17">
      <c r="B754" s="330"/>
      <c r="C754" s="720">
        <f>IF(D701="","-",+C753+1)</f>
        <v>2060</v>
      </c>
      <c r="D754" s="673">
        <f t="shared" si="70"/>
        <v>0</v>
      </c>
      <c r="E754" s="726">
        <f t="shared" si="71"/>
        <v>0</v>
      </c>
      <c r="F754" s="726">
        <f t="shared" si="64"/>
        <v>0</v>
      </c>
      <c r="G754" s="673">
        <f t="shared" si="65"/>
        <v>0</v>
      </c>
      <c r="H754" s="721">
        <f>+J702*G754+E754</f>
        <v>0</v>
      </c>
      <c r="I754" s="727">
        <f>+J703*G754+E754</f>
        <v>0</v>
      </c>
      <c r="J754" s="724">
        <f t="shared" si="66"/>
        <v>0</v>
      </c>
      <c r="K754" s="724"/>
      <c r="L754" s="728"/>
      <c r="M754" s="724">
        <f t="shared" si="67"/>
        <v>0</v>
      </c>
      <c r="N754" s="728"/>
      <c r="O754" s="724">
        <f t="shared" si="68"/>
        <v>0</v>
      </c>
      <c r="P754" s="724">
        <f t="shared" si="69"/>
        <v>0</v>
      </c>
      <c r="Q754" s="674"/>
    </row>
    <row r="755" spans="2:17">
      <c r="B755" s="330"/>
      <c r="C755" s="720">
        <f>IF(D701="","-",+C754+1)</f>
        <v>2061</v>
      </c>
      <c r="D755" s="673">
        <f t="shared" si="70"/>
        <v>0</v>
      </c>
      <c r="E755" s="726">
        <f t="shared" si="71"/>
        <v>0</v>
      </c>
      <c r="F755" s="726">
        <f t="shared" si="64"/>
        <v>0</v>
      </c>
      <c r="G755" s="673">
        <f t="shared" si="65"/>
        <v>0</v>
      </c>
      <c r="H755" s="721">
        <f>+J702*G755+E755</f>
        <v>0</v>
      </c>
      <c r="I755" s="727">
        <f>+J703*G755+E755</f>
        <v>0</v>
      </c>
      <c r="J755" s="724">
        <f t="shared" si="66"/>
        <v>0</v>
      </c>
      <c r="K755" s="724"/>
      <c r="L755" s="728"/>
      <c r="M755" s="724">
        <f t="shared" si="67"/>
        <v>0</v>
      </c>
      <c r="N755" s="728"/>
      <c r="O755" s="724">
        <f t="shared" si="68"/>
        <v>0</v>
      </c>
      <c r="P755" s="724">
        <f t="shared" si="69"/>
        <v>0</v>
      </c>
      <c r="Q755" s="674"/>
    </row>
    <row r="756" spans="2:17">
      <c r="B756" s="330"/>
      <c r="C756" s="720">
        <f>IF(D701="","-",+C755+1)</f>
        <v>2062</v>
      </c>
      <c r="D756" s="673">
        <f t="shared" si="70"/>
        <v>0</v>
      </c>
      <c r="E756" s="726">
        <f t="shared" si="71"/>
        <v>0</v>
      </c>
      <c r="F756" s="726">
        <f t="shared" si="64"/>
        <v>0</v>
      </c>
      <c r="G756" s="673">
        <f t="shared" si="65"/>
        <v>0</v>
      </c>
      <c r="H756" s="721">
        <f>+J702*G756+E756</f>
        <v>0</v>
      </c>
      <c r="I756" s="727">
        <f>+J703*G756+E756</f>
        <v>0</v>
      </c>
      <c r="J756" s="724">
        <f t="shared" si="66"/>
        <v>0</v>
      </c>
      <c r="K756" s="724"/>
      <c r="L756" s="728"/>
      <c r="M756" s="724">
        <f t="shared" si="67"/>
        <v>0</v>
      </c>
      <c r="N756" s="728"/>
      <c r="O756" s="724">
        <f t="shared" si="68"/>
        <v>0</v>
      </c>
      <c r="P756" s="724">
        <f t="shared" si="69"/>
        <v>0</v>
      </c>
      <c r="Q756" s="674"/>
    </row>
    <row r="757" spans="2:17">
      <c r="B757" s="330"/>
      <c r="C757" s="720">
        <f>IF(D701="","-",+C756+1)</f>
        <v>2063</v>
      </c>
      <c r="D757" s="673">
        <f t="shared" si="70"/>
        <v>0</v>
      </c>
      <c r="E757" s="726">
        <f t="shared" si="71"/>
        <v>0</v>
      </c>
      <c r="F757" s="726">
        <f t="shared" si="64"/>
        <v>0</v>
      </c>
      <c r="G757" s="673">
        <f t="shared" si="65"/>
        <v>0</v>
      </c>
      <c r="H757" s="721">
        <f>+J702*G757+E757</f>
        <v>0</v>
      </c>
      <c r="I757" s="727">
        <f>+J703*G757+E757</f>
        <v>0</v>
      </c>
      <c r="J757" s="724">
        <f t="shared" si="66"/>
        <v>0</v>
      </c>
      <c r="K757" s="724"/>
      <c r="L757" s="728"/>
      <c r="M757" s="724">
        <f t="shared" si="67"/>
        <v>0</v>
      </c>
      <c r="N757" s="728"/>
      <c r="O757" s="724">
        <f t="shared" si="68"/>
        <v>0</v>
      </c>
      <c r="P757" s="724">
        <f t="shared" si="69"/>
        <v>0</v>
      </c>
      <c r="Q757" s="674"/>
    </row>
    <row r="758" spans="2:17">
      <c r="B758" s="330"/>
      <c r="C758" s="720">
        <f>IF(D701="","-",+C757+1)</f>
        <v>2064</v>
      </c>
      <c r="D758" s="673">
        <f t="shared" si="70"/>
        <v>0</v>
      </c>
      <c r="E758" s="726">
        <f t="shared" si="71"/>
        <v>0</v>
      </c>
      <c r="F758" s="726">
        <f t="shared" si="64"/>
        <v>0</v>
      </c>
      <c r="G758" s="673">
        <f t="shared" si="65"/>
        <v>0</v>
      </c>
      <c r="H758" s="721">
        <f>+J702*G758+E758</f>
        <v>0</v>
      </c>
      <c r="I758" s="727">
        <f>+J703*G758+E758</f>
        <v>0</v>
      </c>
      <c r="J758" s="724">
        <f t="shared" si="66"/>
        <v>0</v>
      </c>
      <c r="K758" s="724"/>
      <c r="L758" s="728"/>
      <c r="M758" s="724">
        <f t="shared" si="67"/>
        <v>0</v>
      </c>
      <c r="N758" s="728"/>
      <c r="O758" s="724">
        <f t="shared" si="68"/>
        <v>0</v>
      </c>
      <c r="P758" s="724">
        <f t="shared" si="69"/>
        <v>0</v>
      </c>
      <c r="Q758" s="674"/>
    </row>
    <row r="759" spans="2:17">
      <c r="B759" s="330"/>
      <c r="C759" s="720">
        <f>IF(D701="","-",+C758+1)</f>
        <v>2065</v>
      </c>
      <c r="D759" s="673">
        <f t="shared" si="70"/>
        <v>0</v>
      </c>
      <c r="E759" s="726">
        <f t="shared" si="71"/>
        <v>0</v>
      </c>
      <c r="F759" s="726">
        <f t="shared" si="64"/>
        <v>0</v>
      </c>
      <c r="G759" s="673">
        <f t="shared" si="65"/>
        <v>0</v>
      </c>
      <c r="H759" s="721">
        <f>+J702*G759+E759</f>
        <v>0</v>
      </c>
      <c r="I759" s="727">
        <f>+J703*G759+E759</f>
        <v>0</v>
      </c>
      <c r="J759" s="724">
        <f t="shared" si="66"/>
        <v>0</v>
      </c>
      <c r="K759" s="724"/>
      <c r="L759" s="728"/>
      <c r="M759" s="724">
        <f t="shared" si="67"/>
        <v>0</v>
      </c>
      <c r="N759" s="728"/>
      <c r="O759" s="724">
        <f t="shared" si="68"/>
        <v>0</v>
      </c>
      <c r="P759" s="724">
        <f t="shared" si="69"/>
        <v>0</v>
      </c>
      <c r="Q759" s="674"/>
    </row>
    <row r="760" spans="2:17">
      <c r="B760" s="330"/>
      <c r="C760" s="720">
        <f>IF(D701="","-",+C759+1)</f>
        <v>2066</v>
      </c>
      <c r="D760" s="673">
        <f t="shared" si="70"/>
        <v>0</v>
      </c>
      <c r="E760" s="726">
        <f t="shared" si="71"/>
        <v>0</v>
      </c>
      <c r="F760" s="726">
        <f t="shared" si="64"/>
        <v>0</v>
      </c>
      <c r="G760" s="673">
        <f t="shared" si="65"/>
        <v>0</v>
      </c>
      <c r="H760" s="721">
        <f>+J702*G760+E760</f>
        <v>0</v>
      </c>
      <c r="I760" s="727">
        <f>+J703*G760+E760</f>
        <v>0</v>
      </c>
      <c r="J760" s="724">
        <f t="shared" si="66"/>
        <v>0</v>
      </c>
      <c r="K760" s="724"/>
      <c r="L760" s="728"/>
      <c r="M760" s="724">
        <f t="shared" si="67"/>
        <v>0</v>
      </c>
      <c r="N760" s="728"/>
      <c r="O760" s="724">
        <f t="shared" si="68"/>
        <v>0</v>
      </c>
      <c r="P760" s="724">
        <f t="shared" si="69"/>
        <v>0</v>
      </c>
      <c r="Q760" s="674"/>
    </row>
    <row r="761" spans="2:17">
      <c r="B761" s="330"/>
      <c r="C761" s="720">
        <f>IF(D701="","-",+C760+1)</f>
        <v>2067</v>
      </c>
      <c r="D761" s="673">
        <f t="shared" si="70"/>
        <v>0</v>
      </c>
      <c r="E761" s="726">
        <f t="shared" si="71"/>
        <v>0</v>
      </c>
      <c r="F761" s="726">
        <f t="shared" si="64"/>
        <v>0</v>
      </c>
      <c r="G761" s="673">
        <f t="shared" si="65"/>
        <v>0</v>
      </c>
      <c r="H761" s="721">
        <f>+J702*G761+E761</f>
        <v>0</v>
      </c>
      <c r="I761" s="727">
        <f>+J703*G761+E761</f>
        <v>0</v>
      </c>
      <c r="J761" s="724">
        <f t="shared" si="66"/>
        <v>0</v>
      </c>
      <c r="K761" s="724"/>
      <c r="L761" s="728"/>
      <c r="M761" s="724">
        <f t="shared" si="67"/>
        <v>0</v>
      </c>
      <c r="N761" s="728"/>
      <c r="O761" s="724">
        <f t="shared" si="68"/>
        <v>0</v>
      </c>
      <c r="P761" s="724">
        <f t="shared" si="69"/>
        <v>0</v>
      </c>
      <c r="Q761" s="674"/>
    </row>
    <row r="762" spans="2:17">
      <c r="B762" s="330"/>
      <c r="C762" s="720">
        <f>IF(D701="","-",+C761+1)</f>
        <v>2068</v>
      </c>
      <c r="D762" s="673">
        <f t="shared" si="70"/>
        <v>0</v>
      </c>
      <c r="E762" s="726">
        <f t="shared" si="71"/>
        <v>0</v>
      </c>
      <c r="F762" s="726">
        <f t="shared" si="64"/>
        <v>0</v>
      </c>
      <c r="G762" s="673">
        <f t="shared" si="65"/>
        <v>0</v>
      </c>
      <c r="H762" s="721">
        <f>+J702*G762+E762</f>
        <v>0</v>
      </c>
      <c r="I762" s="727">
        <f>+J703*G762+E762</f>
        <v>0</v>
      </c>
      <c r="J762" s="724">
        <f t="shared" si="66"/>
        <v>0</v>
      </c>
      <c r="K762" s="724"/>
      <c r="L762" s="728"/>
      <c r="M762" s="724">
        <f t="shared" si="67"/>
        <v>0</v>
      </c>
      <c r="N762" s="728"/>
      <c r="O762" s="724">
        <f t="shared" si="68"/>
        <v>0</v>
      </c>
      <c r="P762" s="724">
        <f t="shared" si="69"/>
        <v>0</v>
      </c>
      <c r="Q762" s="674"/>
    </row>
    <row r="763" spans="2:17">
      <c r="B763" s="330"/>
      <c r="C763" s="720">
        <f>IF(D701="","-",+C762+1)</f>
        <v>2069</v>
      </c>
      <c r="D763" s="673">
        <f t="shared" si="70"/>
        <v>0</v>
      </c>
      <c r="E763" s="726">
        <f t="shared" si="71"/>
        <v>0</v>
      </c>
      <c r="F763" s="726">
        <f t="shared" si="64"/>
        <v>0</v>
      </c>
      <c r="G763" s="673">
        <f t="shared" si="65"/>
        <v>0</v>
      </c>
      <c r="H763" s="721">
        <f>+J702*G763+E763</f>
        <v>0</v>
      </c>
      <c r="I763" s="727">
        <f>+J703*G763+E763</f>
        <v>0</v>
      </c>
      <c r="J763" s="724">
        <f t="shared" si="66"/>
        <v>0</v>
      </c>
      <c r="K763" s="724"/>
      <c r="L763" s="728"/>
      <c r="M763" s="724">
        <f t="shared" si="67"/>
        <v>0</v>
      </c>
      <c r="N763" s="728"/>
      <c r="O763" s="724">
        <f t="shared" si="68"/>
        <v>0</v>
      </c>
      <c r="P763" s="724">
        <f t="shared" si="69"/>
        <v>0</v>
      </c>
      <c r="Q763" s="674"/>
    </row>
    <row r="764" spans="2:17">
      <c r="B764" s="330"/>
      <c r="C764" s="720">
        <f>IF(D701="","-",+C763+1)</f>
        <v>2070</v>
      </c>
      <c r="D764" s="673">
        <f t="shared" si="70"/>
        <v>0</v>
      </c>
      <c r="E764" s="726">
        <f t="shared" si="71"/>
        <v>0</v>
      </c>
      <c r="F764" s="726">
        <f t="shared" si="64"/>
        <v>0</v>
      </c>
      <c r="G764" s="673">
        <f t="shared" si="65"/>
        <v>0</v>
      </c>
      <c r="H764" s="721">
        <f>+J702*G764+E764</f>
        <v>0</v>
      </c>
      <c r="I764" s="727">
        <f>+J703*G764+E764</f>
        <v>0</v>
      </c>
      <c r="J764" s="724">
        <f t="shared" si="66"/>
        <v>0</v>
      </c>
      <c r="K764" s="724"/>
      <c r="L764" s="728"/>
      <c r="M764" s="724">
        <f t="shared" si="67"/>
        <v>0</v>
      </c>
      <c r="N764" s="728"/>
      <c r="O764" s="724">
        <f t="shared" si="68"/>
        <v>0</v>
      </c>
      <c r="P764" s="724">
        <f t="shared" si="69"/>
        <v>0</v>
      </c>
      <c r="Q764" s="674"/>
    </row>
    <row r="765" spans="2:17">
      <c r="B765" s="330"/>
      <c r="C765" s="720">
        <f>IF(D701="","-",+C764+1)</f>
        <v>2071</v>
      </c>
      <c r="D765" s="673">
        <f t="shared" si="70"/>
        <v>0</v>
      </c>
      <c r="E765" s="726">
        <f t="shared" si="71"/>
        <v>0</v>
      </c>
      <c r="F765" s="726">
        <f t="shared" si="64"/>
        <v>0</v>
      </c>
      <c r="G765" s="673">
        <f t="shared" si="65"/>
        <v>0</v>
      </c>
      <c r="H765" s="721">
        <f>+J702*G765+E765</f>
        <v>0</v>
      </c>
      <c r="I765" s="727">
        <f>+J703*G765+E765</f>
        <v>0</v>
      </c>
      <c r="J765" s="724">
        <f t="shared" si="66"/>
        <v>0</v>
      </c>
      <c r="K765" s="724"/>
      <c r="L765" s="728"/>
      <c r="M765" s="724">
        <f t="shared" si="67"/>
        <v>0</v>
      </c>
      <c r="N765" s="728"/>
      <c r="O765" s="724">
        <f t="shared" si="68"/>
        <v>0</v>
      </c>
      <c r="P765" s="724">
        <f t="shared" si="69"/>
        <v>0</v>
      </c>
      <c r="Q765" s="674"/>
    </row>
    <row r="766" spans="2:17" ht="13.5" thickBot="1">
      <c r="B766" s="330"/>
      <c r="C766" s="730">
        <f>IF(D701="","-",+C765+1)</f>
        <v>2072</v>
      </c>
      <c r="D766" s="731">
        <f t="shared" si="70"/>
        <v>0</v>
      </c>
      <c r="E766" s="1313">
        <f t="shared" si="71"/>
        <v>0</v>
      </c>
      <c r="F766" s="732">
        <f t="shared" si="64"/>
        <v>0</v>
      </c>
      <c r="G766" s="731">
        <f t="shared" si="65"/>
        <v>0</v>
      </c>
      <c r="H766" s="733">
        <f>+J702*G766+E766</f>
        <v>0</v>
      </c>
      <c r="I766" s="733">
        <f>+J703*G766+E766</f>
        <v>0</v>
      </c>
      <c r="J766" s="734">
        <f t="shared" si="66"/>
        <v>0</v>
      </c>
      <c r="K766" s="724"/>
      <c r="L766" s="735"/>
      <c r="M766" s="734">
        <f t="shared" si="67"/>
        <v>0</v>
      </c>
      <c r="N766" s="735"/>
      <c r="O766" s="734">
        <f t="shared" si="68"/>
        <v>0</v>
      </c>
      <c r="P766" s="734">
        <f t="shared" si="69"/>
        <v>0</v>
      </c>
      <c r="Q766" s="674"/>
    </row>
    <row r="767" spans="2:17">
      <c r="B767" s="330"/>
      <c r="C767" s="673" t="s">
        <v>288</v>
      </c>
      <c r="D767" s="669"/>
      <c r="E767" s="669">
        <f>SUM(E707:E766)</f>
        <v>118332.36</v>
      </c>
      <c r="F767" s="669"/>
      <c r="G767" s="669"/>
      <c r="H767" s="669">
        <f>SUM(H707:H766)</f>
        <v>519225.85554928833</v>
      </c>
      <c r="I767" s="669">
        <f>SUM(I707:I766)</f>
        <v>519225.85554928833</v>
      </c>
      <c r="J767" s="669">
        <f>SUM(J707:J766)</f>
        <v>0</v>
      </c>
      <c r="K767" s="669"/>
      <c r="L767" s="669"/>
      <c r="M767" s="669"/>
      <c r="N767" s="669"/>
      <c r="O767" s="669"/>
      <c r="Q767" s="669"/>
    </row>
    <row r="768" spans="2:17">
      <c r="B768" s="330"/>
      <c r="D768" s="563"/>
      <c r="E768" s="542"/>
      <c r="F768" s="542"/>
      <c r="G768" s="542"/>
      <c r="H768" s="542"/>
      <c r="I768" s="646"/>
      <c r="J768" s="646"/>
      <c r="K768" s="669"/>
      <c r="L768" s="646"/>
      <c r="M768" s="646"/>
      <c r="N768" s="646"/>
      <c r="O768" s="646"/>
      <c r="Q768" s="669"/>
    </row>
    <row r="769" spans="1:17">
      <c r="B769" s="330"/>
      <c r="C769" s="542" t="s">
        <v>595</v>
      </c>
      <c r="D769" s="563"/>
      <c r="E769" s="542"/>
      <c r="F769" s="542"/>
      <c r="G769" s="542"/>
      <c r="H769" s="542"/>
      <c r="I769" s="646"/>
      <c r="J769" s="646"/>
      <c r="K769" s="669"/>
      <c r="L769" s="646"/>
      <c r="M769" s="646"/>
      <c r="N769" s="646"/>
      <c r="O769" s="646"/>
      <c r="Q769" s="669"/>
    </row>
    <row r="770" spans="1:17">
      <c r="B770" s="330"/>
      <c r="D770" s="563"/>
      <c r="E770" s="542"/>
      <c r="F770" s="542"/>
      <c r="G770" s="542"/>
      <c r="H770" s="542"/>
      <c r="I770" s="646"/>
      <c r="J770" s="646"/>
      <c r="K770" s="669"/>
      <c r="L770" s="646"/>
      <c r="M770" s="646"/>
      <c r="N770" s="646"/>
      <c r="O770" s="646"/>
      <c r="Q770" s="669"/>
    </row>
    <row r="771" spans="1:17">
      <c r="B771" s="330"/>
      <c r="C771" s="576" t="s">
        <v>596</v>
      </c>
      <c r="D771" s="673"/>
      <c r="E771" s="673"/>
      <c r="F771" s="673"/>
      <c r="G771" s="673"/>
      <c r="H771" s="669"/>
      <c r="I771" s="669"/>
      <c r="J771" s="674"/>
      <c r="K771" s="674"/>
      <c r="L771" s="674"/>
      <c r="M771" s="674"/>
      <c r="N771" s="674"/>
      <c r="O771" s="674"/>
      <c r="Q771" s="674"/>
    </row>
    <row r="772" spans="1:17">
      <c r="B772" s="330"/>
      <c r="C772" s="576" t="s">
        <v>476</v>
      </c>
      <c r="D772" s="673"/>
      <c r="E772" s="673"/>
      <c r="F772" s="673"/>
      <c r="G772" s="673"/>
      <c r="H772" s="669"/>
      <c r="I772" s="669"/>
      <c r="J772" s="674"/>
      <c r="K772" s="674"/>
      <c r="L772" s="674"/>
      <c r="M772" s="674"/>
      <c r="N772" s="674"/>
      <c r="O772" s="674"/>
      <c r="Q772" s="674"/>
    </row>
    <row r="773" spans="1:17">
      <c r="B773" s="330"/>
      <c r="C773" s="576" t="s">
        <v>289</v>
      </c>
      <c r="D773" s="673"/>
      <c r="E773" s="673"/>
      <c r="F773" s="673"/>
      <c r="G773" s="673"/>
      <c r="H773" s="669"/>
      <c r="I773" s="669"/>
      <c r="J773" s="674"/>
      <c r="K773" s="674"/>
      <c r="L773" s="674"/>
      <c r="M773" s="674"/>
      <c r="N773" s="674"/>
      <c r="O773" s="674"/>
      <c r="Q773" s="674"/>
    </row>
    <row r="774" spans="1:17">
      <c r="B774" s="330"/>
      <c r="C774" s="576"/>
      <c r="D774" s="673"/>
      <c r="E774" s="673"/>
      <c r="F774" s="673"/>
      <c r="G774" s="673"/>
      <c r="H774" s="669"/>
      <c r="I774" s="669"/>
      <c r="J774" s="674"/>
      <c r="K774" s="674"/>
      <c r="L774" s="674"/>
      <c r="M774" s="674"/>
      <c r="N774" s="674"/>
      <c r="O774" s="674"/>
      <c r="Q774" s="674"/>
    </row>
    <row r="775" spans="1:17">
      <c r="B775" s="330"/>
      <c r="C775" s="576"/>
      <c r="D775" s="673"/>
      <c r="E775" s="673"/>
      <c r="F775" s="673"/>
      <c r="G775" s="673"/>
      <c r="H775" s="669"/>
      <c r="I775" s="669"/>
      <c r="J775" s="674"/>
      <c r="K775" s="674"/>
      <c r="L775" s="674"/>
      <c r="M775" s="674"/>
      <c r="N775" s="674"/>
      <c r="O775" s="674"/>
      <c r="Q775" s="674"/>
    </row>
    <row r="776" spans="1:17" ht="20.25">
      <c r="A776" s="675" t="s">
        <v>764</v>
      </c>
      <c r="B776" s="542"/>
      <c r="C776" s="655"/>
      <c r="D776" s="563"/>
      <c r="E776" s="542"/>
      <c r="F776" s="645"/>
      <c r="G776" s="645"/>
      <c r="H776" s="542"/>
      <c r="I776" s="646"/>
      <c r="L776" s="676"/>
      <c r="M776" s="676"/>
      <c r="N776" s="676"/>
      <c r="O776" s="591" t="str">
        <f>"Page "&amp;SUM(Q$3:Q776)&amp;" of "</f>
        <v xml:space="preserve">Page 10 of </v>
      </c>
      <c r="P776" s="592">
        <f>COUNT(Q$8:Q$58212)</f>
        <v>23</v>
      </c>
      <c r="Q776" s="756">
        <v>1</v>
      </c>
    </row>
    <row r="777" spans="1:17">
      <c r="B777" s="542"/>
      <c r="C777" s="542"/>
      <c r="D777" s="563"/>
      <c r="E777" s="542"/>
      <c r="F777" s="542"/>
      <c r="G777" s="542"/>
      <c r="H777" s="542"/>
      <c r="I777" s="646"/>
      <c r="J777" s="542"/>
      <c r="K777" s="588"/>
      <c r="Q777" s="588"/>
    </row>
    <row r="778" spans="1:17" ht="18">
      <c r="B778" s="595" t="s">
        <v>174</v>
      </c>
      <c r="C778" s="677" t="s">
        <v>290</v>
      </c>
      <c r="D778" s="563"/>
      <c r="E778" s="542"/>
      <c r="F778" s="542"/>
      <c r="G778" s="542"/>
      <c r="H778" s="542"/>
      <c r="I778" s="646"/>
      <c r="J778" s="646"/>
      <c r="K778" s="669"/>
      <c r="L778" s="646"/>
      <c r="M778" s="646"/>
      <c r="N778" s="646"/>
      <c r="O778" s="646"/>
      <c r="Q778" s="669"/>
    </row>
    <row r="779" spans="1:17" ht="18.75">
      <c r="B779" s="595"/>
      <c r="C779" s="594"/>
      <c r="D779" s="563"/>
      <c r="E779" s="542"/>
      <c r="F779" s="542"/>
      <c r="G779" s="542"/>
      <c r="H779" s="542"/>
      <c r="I779" s="646"/>
      <c r="J779" s="646"/>
      <c r="K779" s="669"/>
      <c r="L779" s="646"/>
      <c r="M779" s="646"/>
      <c r="N779" s="646"/>
      <c r="O779" s="646"/>
      <c r="Q779" s="669"/>
    </row>
    <row r="780" spans="1:17" ht="18.75">
      <c r="B780" s="595"/>
      <c r="C780" s="594" t="s">
        <v>291</v>
      </c>
      <c r="D780" s="563"/>
      <c r="E780" s="542"/>
      <c r="F780" s="542"/>
      <c r="G780" s="542"/>
      <c r="H780" s="542"/>
      <c r="I780" s="646"/>
      <c r="J780" s="646"/>
      <c r="K780" s="669"/>
      <c r="L780" s="646"/>
      <c r="M780" s="646"/>
      <c r="N780" s="646"/>
      <c r="O780" s="646"/>
      <c r="Q780" s="669"/>
    </row>
    <row r="781" spans="1:17" ht="15.75" thickBot="1">
      <c r="B781" s="330"/>
      <c r="C781" s="396"/>
      <c r="D781" s="563"/>
      <c r="E781" s="542"/>
      <c r="F781" s="542"/>
      <c r="G781" s="542"/>
      <c r="H781" s="542"/>
      <c r="I781" s="646"/>
      <c r="J781" s="646"/>
      <c r="K781" s="669"/>
      <c r="L781" s="646"/>
      <c r="M781" s="646"/>
      <c r="N781" s="646"/>
      <c r="O781" s="646"/>
      <c r="Q781" s="669"/>
    </row>
    <row r="782" spans="1:17" ht="15.75">
      <c r="B782" s="330"/>
      <c r="C782" s="596" t="s">
        <v>292</v>
      </c>
      <c r="D782" s="563"/>
      <c r="E782" s="542"/>
      <c r="F782" s="542"/>
      <c r="G782" s="542"/>
      <c r="H782" s="864"/>
      <c r="I782" s="542" t="s">
        <v>271</v>
      </c>
      <c r="J782" s="542"/>
      <c r="K782" s="588"/>
      <c r="L782" s="757">
        <f>+J788</f>
        <v>2021</v>
      </c>
      <c r="M782" s="739" t="s">
        <v>254</v>
      </c>
      <c r="N782" s="739" t="s">
        <v>255</v>
      </c>
      <c r="O782" s="740" t="s">
        <v>256</v>
      </c>
      <c r="Q782" s="588"/>
    </row>
    <row r="783" spans="1:17" ht="15.75">
      <c r="B783" s="330"/>
      <c r="C783" s="596"/>
      <c r="D783" s="563"/>
      <c r="E783" s="542"/>
      <c r="F783" s="542"/>
      <c r="H783" s="542"/>
      <c r="I783" s="681"/>
      <c r="J783" s="681"/>
      <c r="K783" s="682"/>
      <c r="L783" s="758" t="s">
        <v>455</v>
      </c>
      <c r="M783" s="759">
        <f>VLOOKUP(J788,C795:P854,10)</f>
        <v>504122.32482208638</v>
      </c>
      <c r="N783" s="759">
        <f>VLOOKUP(J788,C795:P854,12)</f>
        <v>504122.32482208638</v>
      </c>
      <c r="O783" s="760">
        <f>+N783-M783</f>
        <v>0</v>
      </c>
      <c r="Q783" s="682"/>
    </row>
    <row r="784" spans="1:17" ht="12.95" customHeight="1">
      <c r="B784" s="330"/>
      <c r="C784" s="684" t="s">
        <v>293</v>
      </c>
      <c r="D784" s="1703" t="s">
        <v>942</v>
      </c>
      <c r="E784" s="1703"/>
      <c r="F784" s="1703"/>
      <c r="G784" s="1703"/>
      <c r="H784" s="1703"/>
      <c r="I784" s="1703"/>
      <c r="J784" s="646"/>
      <c r="K784" s="669"/>
      <c r="L784" s="758" t="s">
        <v>456</v>
      </c>
      <c r="M784" s="761">
        <f>VLOOKUP(J788,C795:P854,6)</f>
        <v>533989.46381818899</v>
      </c>
      <c r="N784" s="761">
        <f>VLOOKUP(J788,C795:P854,7)</f>
        <v>533989.46381818899</v>
      </c>
      <c r="O784" s="762">
        <f>+N784-M784</f>
        <v>0</v>
      </c>
      <c r="Q784" s="669"/>
    </row>
    <row r="785" spans="1:17" ht="13.5" thickBot="1">
      <c r="B785" s="330"/>
      <c r="C785" s="686"/>
      <c r="D785" s="1703" t="s">
        <v>962</v>
      </c>
      <c r="E785" s="1703"/>
      <c r="F785" s="1703"/>
      <c r="G785" s="1703"/>
      <c r="H785" s="1703"/>
      <c r="I785" s="1703"/>
      <c r="J785" s="646"/>
      <c r="K785" s="669"/>
      <c r="L785" s="705" t="s">
        <v>457</v>
      </c>
      <c r="M785" s="763">
        <f>+M784-M783</f>
        <v>29867.138996102614</v>
      </c>
      <c r="N785" s="763">
        <f>+N784-N783</f>
        <v>29867.138996102614</v>
      </c>
      <c r="O785" s="764">
        <f>+O784-O783</f>
        <v>0</v>
      </c>
      <c r="Q785" s="669"/>
    </row>
    <row r="786" spans="1:17" ht="13.5" thickBot="1">
      <c r="B786" s="330"/>
      <c r="C786" s="689"/>
      <c r="D786" s="690"/>
      <c r="E786" s="688"/>
      <c r="F786" s="688"/>
      <c r="G786" s="688"/>
      <c r="H786" s="688"/>
      <c r="I786" s="688"/>
      <c r="J786" s="688"/>
      <c r="K786" s="691"/>
      <c r="L786" s="688"/>
      <c r="M786" s="688"/>
      <c r="N786" s="688"/>
      <c r="O786" s="688"/>
      <c r="P786" s="576"/>
      <c r="Q786" s="691"/>
    </row>
    <row r="787" spans="1:17" ht="13.5" thickBot="1">
      <c r="B787" s="330"/>
      <c r="C787" s="692" t="s">
        <v>294</v>
      </c>
      <c r="D787" s="693"/>
      <c r="E787" s="693"/>
      <c r="F787" s="693"/>
      <c r="G787" s="693"/>
      <c r="H787" s="693"/>
      <c r="I787" s="693"/>
      <c r="J787" s="693"/>
      <c r="K787" s="695"/>
      <c r="P787" s="696"/>
      <c r="Q787" s="695"/>
    </row>
    <row r="788" spans="1:17" ht="15">
      <c r="A788" s="1310"/>
      <c r="B788" s="330"/>
      <c r="C788" s="697" t="s">
        <v>272</v>
      </c>
      <c r="D788" s="1253">
        <v>3459640.38</v>
      </c>
      <c r="E788" s="655" t="s">
        <v>273</v>
      </c>
      <c r="H788" s="698"/>
      <c r="I788" s="698"/>
      <c r="J788" s="1451">
        <f>$J$95</f>
        <v>2021</v>
      </c>
      <c r="K788" s="586"/>
      <c r="L788" s="1717" t="s">
        <v>274</v>
      </c>
      <c r="M788" s="1717"/>
      <c r="N788" s="1717"/>
      <c r="O788" s="1717"/>
      <c r="P788" s="588"/>
      <c r="Q788" s="586"/>
    </row>
    <row r="789" spans="1:17">
      <c r="A789" s="1310"/>
      <c r="B789" s="330"/>
      <c r="C789" s="697" t="s">
        <v>275</v>
      </c>
      <c r="D789" s="865">
        <v>2015</v>
      </c>
      <c r="E789" s="697" t="s">
        <v>276</v>
      </c>
      <c r="F789" s="698"/>
      <c r="G789" s="698"/>
      <c r="I789" s="330"/>
      <c r="J789" s="867">
        <v>0</v>
      </c>
      <c r="K789" s="700"/>
      <c r="L789" s="669" t="s">
        <v>475</v>
      </c>
      <c r="P789" s="588"/>
      <c r="Q789" s="700"/>
    </row>
    <row r="790" spans="1:17">
      <c r="A790" s="1310"/>
      <c r="B790" s="330"/>
      <c r="C790" s="697" t="s">
        <v>277</v>
      </c>
      <c r="D790" s="1253">
        <v>3</v>
      </c>
      <c r="E790" s="697" t="s">
        <v>278</v>
      </c>
      <c r="F790" s="698"/>
      <c r="G790" s="698"/>
      <c r="I790" s="330"/>
      <c r="J790" s="701">
        <f>$F$70</f>
        <v>0.15341253840442806</v>
      </c>
      <c r="K790" s="702"/>
      <c r="L790" s="542" t="str">
        <f>"          INPUT TRUE-UP ARR (WITH &amp; WITHOUT INCENTIVES) FROM EACH PRIOR YEAR"</f>
        <v xml:space="preserve">          INPUT TRUE-UP ARR (WITH &amp; WITHOUT INCENTIVES) FROM EACH PRIOR YEAR</v>
      </c>
      <c r="P790" s="588"/>
      <c r="Q790" s="702"/>
    </row>
    <row r="791" spans="1:17">
      <c r="A791" s="1310"/>
      <c r="B791" s="330"/>
      <c r="C791" s="697" t="s">
        <v>279</v>
      </c>
      <c r="D791" s="703">
        <f>H79</f>
        <v>44</v>
      </c>
      <c r="E791" s="697" t="s">
        <v>280</v>
      </c>
      <c r="F791" s="698"/>
      <c r="G791" s="698"/>
      <c r="I791" s="330"/>
      <c r="J791" s="701">
        <f>IF(H782="",J790,$F$69)</f>
        <v>0.15341253840442806</v>
      </c>
      <c r="K791" s="704"/>
      <c r="L791" s="542" t="s">
        <v>362</v>
      </c>
      <c r="M791" s="704"/>
      <c r="N791" s="704"/>
      <c r="O791" s="704"/>
      <c r="P791" s="588"/>
      <c r="Q791" s="704"/>
    </row>
    <row r="792" spans="1:17" ht="13.5" thickBot="1">
      <c r="A792" s="1310"/>
      <c r="B792" s="330"/>
      <c r="C792" s="697" t="s">
        <v>281</v>
      </c>
      <c r="D792" s="866" t="s">
        <v>933</v>
      </c>
      <c r="E792" s="705" t="s">
        <v>282</v>
      </c>
      <c r="F792" s="706"/>
      <c r="G792" s="706"/>
      <c r="H792" s="707"/>
      <c r="I792" s="707"/>
      <c r="J792" s="685">
        <f>IF(D788=0,0,D788/D791)</f>
        <v>78628.190454545445</v>
      </c>
      <c r="K792" s="669"/>
      <c r="L792" s="669" t="s">
        <v>363</v>
      </c>
      <c r="M792" s="669"/>
      <c r="N792" s="669"/>
      <c r="O792" s="669"/>
      <c r="P792" s="588"/>
      <c r="Q792" s="669"/>
    </row>
    <row r="793" spans="1:17" ht="38.25">
      <c r="A793" s="529"/>
      <c r="B793" s="529"/>
      <c r="C793" s="708" t="s">
        <v>272</v>
      </c>
      <c r="D793" s="709" t="s">
        <v>283</v>
      </c>
      <c r="E793" s="710" t="s">
        <v>284</v>
      </c>
      <c r="F793" s="709" t="s">
        <v>285</v>
      </c>
      <c r="G793" s="709" t="s">
        <v>458</v>
      </c>
      <c r="H793" s="710" t="s">
        <v>356</v>
      </c>
      <c r="I793" s="711" t="s">
        <v>356</v>
      </c>
      <c r="J793" s="708" t="s">
        <v>295</v>
      </c>
      <c r="K793" s="712"/>
      <c r="L793" s="710" t="s">
        <v>358</v>
      </c>
      <c r="M793" s="710" t="s">
        <v>364</v>
      </c>
      <c r="N793" s="710" t="s">
        <v>358</v>
      </c>
      <c r="O793" s="710" t="s">
        <v>366</v>
      </c>
      <c r="P793" s="710" t="s">
        <v>286</v>
      </c>
      <c r="Q793" s="713"/>
    </row>
    <row r="794" spans="1:17" ht="13.5" thickBot="1">
      <c r="B794" s="330"/>
      <c r="C794" s="714" t="s">
        <v>177</v>
      </c>
      <c r="D794" s="715" t="s">
        <v>178</v>
      </c>
      <c r="E794" s="714" t="s">
        <v>37</v>
      </c>
      <c r="F794" s="715" t="s">
        <v>178</v>
      </c>
      <c r="G794" s="715" t="s">
        <v>178</v>
      </c>
      <c r="H794" s="716" t="s">
        <v>298</v>
      </c>
      <c r="I794" s="717" t="s">
        <v>300</v>
      </c>
      <c r="J794" s="718" t="s">
        <v>389</v>
      </c>
      <c r="K794" s="719"/>
      <c r="L794" s="716" t="s">
        <v>287</v>
      </c>
      <c r="M794" s="716" t="s">
        <v>287</v>
      </c>
      <c r="N794" s="716" t="s">
        <v>467</v>
      </c>
      <c r="O794" s="716" t="s">
        <v>467</v>
      </c>
      <c r="P794" s="716" t="s">
        <v>467</v>
      </c>
      <c r="Q794" s="586"/>
    </row>
    <row r="795" spans="1:17">
      <c r="B795" s="330"/>
      <c r="C795" s="720">
        <f>IF(D789= "","-",D789)</f>
        <v>2015</v>
      </c>
      <c r="D795" s="673">
        <f>+D788</f>
        <v>3459640.38</v>
      </c>
      <c r="E795" s="721">
        <f>+J792/12*(12-D790)</f>
        <v>58971.142840909088</v>
      </c>
      <c r="F795" s="765">
        <f t="shared" ref="F795:F854" si="72">+D795-E795</f>
        <v>3400669.2371590906</v>
      </c>
      <c r="G795" s="673">
        <f t="shared" ref="G795:G854" si="73">+(D795+F795)/2</f>
        <v>3430154.8085795455</v>
      </c>
      <c r="H795" s="722">
        <f>+J790*G795+E795</f>
        <v>585199.89914525219</v>
      </c>
      <c r="I795" s="723">
        <f>+J791*G795+E795</f>
        <v>585199.89914525219</v>
      </c>
      <c r="J795" s="724">
        <f t="shared" ref="J795:J854" si="74">+I795-H795</f>
        <v>0</v>
      </c>
      <c r="K795" s="724"/>
      <c r="L795" s="728">
        <v>652736</v>
      </c>
      <c r="M795" s="766">
        <f t="shared" ref="M795:M854" si="75">IF(L795&lt;&gt;0,+H795-L795,0)</f>
        <v>-67536.100854747812</v>
      </c>
      <c r="N795" s="728">
        <v>652736</v>
      </c>
      <c r="O795" s="766">
        <f t="shared" ref="O795:O854" si="76">IF(N795&lt;&gt;0,+I795-N795,0)</f>
        <v>-67536.100854747812</v>
      </c>
      <c r="P795" s="766">
        <f t="shared" ref="P795:P854" si="77">+O795-M795</f>
        <v>0</v>
      </c>
      <c r="Q795" s="674"/>
    </row>
    <row r="796" spans="1:17">
      <c r="B796" s="330"/>
      <c r="C796" s="720">
        <f>IF(D789="","-",+C795+1)</f>
        <v>2016</v>
      </c>
      <c r="D796" s="673">
        <f t="shared" ref="D796:D854" si="78">F795</f>
        <v>3400669.2371590906</v>
      </c>
      <c r="E796" s="726">
        <f>IF(D796&gt;$J$792,$J$792,D796)</f>
        <v>78628.190454545445</v>
      </c>
      <c r="F796" s="726">
        <f t="shared" si="72"/>
        <v>3322041.0467045452</v>
      </c>
      <c r="G796" s="673">
        <f t="shared" si="73"/>
        <v>3361355.1419318179</v>
      </c>
      <c r="H796" s="721">
        <f>+J790*G796+E796</f>
        <v>594302.21525708225</v>
      </c>
      <c r="I796" s="727">
        <f>+J791*G796+E796</f>
        <v>594302.21525708225</v>
      </c>
      <c r="J796" s="724">
        <f t="shared" si="74"/>
        <v>0</v>
      </c>
      <c r="K796" s="724"/>
      <c r="L796" s="728">
        <v>666514</v>
      </c>
      <c r="M796" s="724">
        <f t="shared" si="75"/>
        <v>-72211.784742917749</v>
      </c>
      <c r="N796" s="728">
        <v>666514</v>
      </c>
      <c r="O796" s="724">
        <f t="shared" si="76"/>
        <v>-72211.784742917749</v>
      </c>
      <c r="P796" s="724">
        <f t="shared" si="77"/>
        <v>0</v>
      </c>
      <c r="Q796" s="674"/>
    </row>
    <row r="797" spans="1:17">
      <c r="B797" s="330"/>
      <c r="C797" s="720">
        <f>IF(D789="","-",+C796+1)</f>
        <v>2017</v>
      </c>
      <c r="D797" s="673">
        <f t="shared" si="78"/>
        <v>3322041.0467045452</v>
      </c>
      <c r="E797" s="726">
        <f t="shared" ref="E797:E854" si="79">IF(D797&gt;$J$792,$J$792,D797)</f>
        <v>78628.190454545445</v>
      </c>
      <c r="F797" s="726">
        <f t="shared" si="72"/>
        <v>3243412.8562499997</v>
      </c>
      <c r="G797" s="673">
        <f t="shared" si="73"/>
        <v>3282726.9514772724</v>
      </c>
      <c r="H797" s="721">
        <f>+J790*G797+E797</f>
        <v>582239.66496930353</v>
      </c>
      <c r="I797" s="727">
        <f>+J791*G797+E797</f>
        <v>582239.66496930353</v>
      </c>
      <c r="J797" s="724">
        <f t="shared" si="74"/>
        <v>0</v>
      </c>
      <c r="K797" s="724"/>
      <c r="L797" s="728">
        <v>674329</v>
      </c>
      <c r="M797" s="724">
        <f t="shared" si="75"/>
        <v>-92089.335030696471</v>
      </c>
      <c r="N797" s="728">
        <v>674329</v>
      </c>
      <c r="O797" s="724">
        <f t="shared" si="76"/>
        <v>-92089.335030696471</v>
      </c>
      <c r="P797" s="724">
        <f t="shared" si="77"/>
        <v>0</v>
      </c>
      <c r="Q797" s="674"/>
    </row>
    <row r="798" spans="1:17">
      <c r="B798" s="330"/>
      <c r="C798" s="720">
        <f>IF(D789="","-",+C797+1)</f>
        <v>2018</v>
      </c>
      <c r="D798" s="1455">
        <f t="shared" si="78"/>
        <v>3243412.8562499997</v>
      </c>
      <c r="E798" s="726">
        <f t="shared" si="79"/>
        <v>78628.190454545445</v>
      </c>
      <c r="F798" s="726">
        <f t="shared" si="72"/>
        <v>3164784.6657954543</v>
      </c>
      <c r="G798" s="673">
        <f t="shared" si="73"/>
        <v>3204098.761022727</v>
      </c>
      <c r="H798" s="721">
        <f>+J790*G798+E798</f>
        <v>570177.11468152492</v>
      </c>
      <c r="I798" s="727">
        <f>+J791*G798+E798</f>
        <v>570177.11468152492</v>
      </c>
      <c r="J798" s="724">
        <f t="shared" si="74"/>
        <v>0</v>
      </c>
      <c r="K798" s="724"/>
      <c r="L798" s="728">
        <v>563359</v>
      </c>
      <c r="M798" s="724">
        <f t="shared" si="75"/>
        <v>6818.1146815249231</v>
      </c>
      <c r="N798" s="728">
        <v>563359</v>
      </c>
      <c r="O798" s="724">
        <f t="shared" si="76"/>
        <v>6818.1146815249231</v>
      </c>
      <c r="P798" s="724">
        <f t="shared" si="77"/>
        <v>0</v>
      </c>
      <c r="Q798" s="674"/>
    </row>
    <row r="799" spans="1:17">
      <c r="B799" s="330"/>
      <c r="C799" s="720">
        <f>IF(D789="","-",+C798+1)</f>
        <v>2019</v>
      </c>
      <c r="D799" s="673">
        <f t="shared" si="78"/>
        <v>3164784.6657954543</v>
      </c>
      <c r="E799" s="726">
        <f t="shared" si="79"/>
        <v>78628.190454545445</v>
      </c>
      <c r="F799" s="726">
        <f t="shared" si="72"/>
        <v>3086156.4753409089</v>
      </c>
      <c r="G799" s="673">
        <f t="shared" si="73"/>
        <v>3125470.5705681816</v>
      </c>
      <c r="H799" s="721">
        <f>+J790*G799+E799</f>
        <v>558114.56439374632</v>
      </c>
      <c r="I799" s="727">
        <f>+J791*G799+E799</f>
        <v>558114.56439374632</v>
      </c>
      <c r="J799" s="724">
        <f t="shared" si="74"/>
        <v>0</v>
      </c>
      <c r="K799" s="724"/>
      <c r="L799" s="1452">
        <v>548044</v>
      </c>
      <c r="M799" s="724">
        <f t="shared" si="75"/>
        <v>10070.564393746317</v>
      </c>
      <c r="N799" s="1452">
        <v>548044</v>
      </c>
      <c r="O799" s="724">
        <f t="shared" si="76"/>
        <v>10070.564393746317</v>
      </c>
      <c r="P799" s="724">
        <f t="shared" si="77"/>
        <v>0</v>
      </c>
      <c r="Q799" s="674"/>
    </row>
    <row r="800" spans="1:17">
      <c r="B800" s="330"/>
      <c r="C800" s="720">
        <f>IF(D789="","-",+C799+1)</f>
        <v>2020</v>
      </c>
      <c r="D800" s="1269">
        <f t="shared" si="78"/>
        <v>3086156.4753409089</v>
      </c>
      <c r="E800" s="726">
        <f t="shared" si="79"/>
        <v>78628.190454545445</v>
      </c>
      <c r="F800" s="726">
        <f t="shared" si="72"/>
        <v>3007528.2848863634</v>
      </c>
      <c r="G800" s="673">
        <f t="shared" si="73"/>
        <v>3046842.3801136361</v>
      </c>
      <c r="H800" s="721">
        <f>+J790*G800+E800</f>
        <v>546052.01410596771</v>
      </c>
      <c r="I800" s="727">
        <f>+J791*G800+E800</f>
        <v>546052.01410596771</v>
      </c>
      <c r="J800" s="724">
        <f t="shared" si="74"/>
        <v>0</v>
      </c>
      <c r="K800" s="724"/>
      <c r="L800" s="728">
        <v>528209.68822876178</v>
      </c>
      <c r="M800" s="724">
        <f t="shared" si="75"/>
        <v>17842.325877205934</v>
      </c>
      <c r="N800" s="1548">
        <v>528209.68822876178</v>
      </c>
      <c r="O800" s="724">
        <f t="shared" si="76"/>
        <v>17842.325877205934</v>
      </c>
      <c r="P800" s="724">
        <f t="shared" si="77"/>
        <v>0</v>
      </c>
      <c r="Q800" s="674"/>
    </row>
    <row r="801" spans="2:17">
      <c r="B801" s="330"/>
      <c r="C801" s="720">
        <f>IF(D789="","-",+C800+1)</f>
        <v>2021</v>
      </c>
      <c r="D801" s="1269">
        <f t="shared" si="78"/>
        <v>3007528.2848863634</v>
      </c>
      <c r="E801" s="726">
        <f t="shared" si="79"/>
        <v>78628.190454545445</v>
      </c>
      <c r="F801" s="726">
        <f t="shared" si="72"/>
        <v>2928900.094431818</v>
      </c>
      <c r="G801" s="673">
        <f t="shared" si="73"/>
        <v>2968214.1896590907</v>
      </c>
      <c r="H801" s="721">
        <f>+J790*G801+E801</f>
        <v>533989.46381818899</v>
      </c>
      <c r="I801" s="727">
        <f>+J791*G801+E801</f>
        <v>533989.46381818899</v>
      </c>
      <c r="J801" s="724">
        <f t="shared" si="74"/>
        <v>0</v>
      </c>
      <c r="K801" s="724"/>
      <c r="L801" s="728">
        <v>504122.32482208638</v>
      </c>
      <c r="M801" s="724">
        <f t="shared" si="75"/>
        <v>29867.138996102614</v>
      </c>
      <c r="N801" s="1548">
        <v>504122.32482208638</v>
      </c>
      <c r="O801" s="724">
        <f t="shared" si="76"/>
        <v>29867.138996102614</v>
      </c>
      <c r="P801" s="724">
        <f t="shared" si="77"/>
        <v>0</v>
      </c>
      <c r="Q801" s="674"/>
    </row>
    <row r="802" spans="2:17">
      <c r="B802" s="330"/>
      <c r="C802" s="720">
        <f>IF(D789="","-",+C801+1)</f>
        <v>2022</v>
      </c>
      <c r="D802" s="673">
        <f t="shared" si="78"/>
        <v>2928900.094431818</v>
      </c>
      <c r="E802" s="726">
        <f t="shared" si="79"/>
        <v>78628.190454545445</v>
      </c>
      <c r="F802" s="726">
        <f t="shared" si="72"/>
        <v>2850271.9039772726</v>
      </c>
      <c r="G802" s="673">
        <f t="shared" si="73"/>
        <v>2889585.9992045453</v>
      </c>
      <c r="H802" s="721">
        <f>+J790*G802+E802</f>
        <v>521926.91353041038</v>
      </c>
      <c r="I802" s="727">
        <f>+J791*G802+E802</f>
        <v>521926.91353041038</v>
      </c>
      <c r="J802" s="724">
        <f t="shared" si="74"/>
        <v>0</v>
      </c>
      <c r="K802" s="724"/>
      <c r="L802" s="728">
        <v>0</v>
      </c>
      <c r="M802" s="724">
        <f t="shared" si="75"/>
        <v>0</v>
      </c>
      <c r="N802" s="728">
        <v>0</v>
      </c>
      <c r="O802" s="724">
        <f t="shared" si="76"/>
        <v>0</v>
      </c>
      <c r="P802" s="724">
        <f t="shared" si="77"/>
        <v>0</v>
      </c>
      <c r="Q802" s="674"/>
    </row>
    <row r="803" spans="2:17">
      <c r="B803" s="330"/>
      <c r="C803" s="720">
        <f>IF(D789="","-",+C802+1)</f>
        <v>2023</v>
      </c>
      <c r="D803" s="673">
        <f t="shared" si="78"/>
        <v>2850271.9039772726</v>
      </c>
      <c r="E803" s="726">
        <f t="shared" si="79"/>
        <v>78628.190454545445</v>
      </c>
      <c r="F803" s="726">
        <f t="shared" si="72"/>
        <v>2771643.7135227271</v>
      </c>
      <c r="G803" s="673">
        <f t="shared" si="73"/>
        <v>2810957.8087499999</v>
      </c>
      <c r="H803" s="721">
        <f>+J790*G803+E803</f>
        <v>509864.36324263172</v>
      </c>
      <c r="I803" s="727">
        <f>+J791*G803+E803</f>
        <v>509864.36324263172</v>
      </c>
      <c r="J803" s="724">
        <f t="shared" si="74"/>
        <v>0</v>
      </c>
      <c r="K803" s="724"/>
      <c r="L803" s="728">
        <v>0</v>
      </c>
      <c r="M803" s="724">
        <f t="shared" si="75"/>
        <v>0</v>
      </c>
      <c r="N803" s="728">
        <v>0</v>
      </c>
      <c r="O803" s="724">
        <f t="shared" si="76"/>
        <v>0</v>
      </c>
      <c r="P803" s="724">
        <f t="shared" si="77"/>
        <v>0</v>
      </c>
      <c r="Q803" s="674"/>
    </row>
    <row r="804" spans="2:17">
      <c r="B804" s="330"/>
      <c r="C804" s="1291">
        <f>IF(D789="","-",+C803+1)</f>
        <v>2024</v>
      </c>
      <c r="D804" s="673">
        <f t="shared" si="78"/>
        <v>2771643.7135227271</v>
      </c>
      <c r="E804" s="726">
        <f t="shared" si="79"/>
        <v>78628.190454545445</v>
      </c>
      <c r="F804" s="726">
        <f t="shared" si="72"/>
        <v>2693015.5230681817</v>
      </c>
      <c r="G804" s="673">
        <f t="shared" si="73"/>
        <v>2732329.6182954544</v>
      </c>
      <c r="H804" s="721">
        <f>+J790*G804+E804</f>
        <v>497801.81295485311</v>
      </c>
      <c r="I804" s="727">
        <f>+J791*G804+E804</f>
        <v>497801.81295485311</v>
      </c>
      <c r="J804" s="724">
        <f t="shared" si="74"/>
        <v>0</v>
      </c>
      <c r="K804" s="724"/>
      <c r="L804" s="728">
        <v>0</v>
      </c>
      <c r="M804" s="724">
        <f t="shared" si="75"/>
        <v>0</v>
      </c>
      <c r="N804" s="728">
        <v>0</v>
      </c>
      <c r="O804" s="724">
        <f t="shared" si="76"/>
        <v>0</v>
      </c>
      <c r="P804" s="724">
        <f t="shared" si="77"/>
        <v>0</v>
      </c>
      <c r="Q804" s="674"/>
    </row>
    <row r="805" spans="2:17">
      <c r="B805" s="330"/>
      <c r="C805" s="720">
        <f>IF(D789="","-",+C804+1)</f>
        <v>2025</v>
      </c>
      <c r="D805" s="673">
        <f t="shared" si="78"/>
        <v>2693015.5230681817</v>
      </c>
      <c r="E805" s="726">
        <f t="shared" si="79"/>
        <v>78628.190454545445</v>
      </c>
      <c r="F805" s="726">
        <f t="shared" si="72"/>
        <v>2614387.3326136363</v>
      </c>
      <c r="G805" s="673">
        <f t="shared" si="73"/>
        <v>2653701.427840909</v>
      </c>
      <c r="H805" s="721">
        <f>+J790*G805+E805</f>
        <v>485739.26266707445</v>
      </c>
      <c r="I805" s="727">
        <f>+J791*G805+E805</f>
        <v>485739.26266707445</v>
      </c>
      <c r="J805" s="724">
        <f t="shared" si="74"/>
        <v>0</v>
      </c>
      <c r="K805" s="724"/>
      <c r="L805" s="728"/>
      <c r="M805" s="724">
        <f t="shared" si="75"/>
        <v>0</v>
      </c>
      <c r="N805" s="728"/>
      <c r="O805" s="724">
        <f t="shared" si="76"/>
        <v>0</v>
      </c>
      <c r="P805" s="724">
        <f t="shared" si="77"/>
        <v>0</v>
      </c>
      <c r="Q805" s="674"/>
    </row>
    <row r="806" spans="2:17">
      <c r="B806" s="330"/>
      <c r="C806" s="720">
        <f>IF(D789="","-",+C805+1)</f>
        <v>2026</v>
      </c>
      <c r="D806" s="673">
        <f t="shared" si="78"/>
        <v>2614387.3326136363</v>
      </c>
      <c r="E806" s="726">
        <f t="shared" si="79"/>
        <v>78628.190454545445</v>
      </c>
      <c r="F806" s="726">
        <f t="shared" si="72"/>
        <v>2535759.1421590908</v>
      </c>
      <c r="G806" s="673">
        <f t="shared" si="73"/>
        <v>2575073.2373863636</v>
      </c>
      <c r="H806" s="721">
        <f>+J790*G806+E806</f>
        <v>473676.71237929584</v>
      </c>
      <c r="I806" s="727">
        <f>+J791*G806+E806</f>
        <v>473676.71237929584</v>
      </c>
      <c r="J806" s="724">
        <f t="shared" si="74"/>
        <v>0</v>
      </c>
      <c r="K806" s="724"/>
      <c r="L806" s="728"/>
      <c r="M806" s="724">
        <f t="shared" si="75"/>
        <v>0</v>
      </c>
      <c r="N806" s="728"/>
      <c r="O806" s="724">
        <f t="shared" si="76"/>
        <v>0</v>
      </c>
      <c r="P806" s="724">
        <f t="shared" si="77"/>
        <v>0</v>
      </c>
      <c r="Q806" s="674"/>
    </row>
    <row r="807" spans="2:17">
      <c r="B807" s="330"/>
      <c r="C807" s="720">
        <f>IF(D789="","-",+C806+1)</f>
        <v>2027</v>
      </c>
      <c r="D807" s="673">
        <f t="shared" si="78"/>
        <v>2535759.1421590908</v>
      </c>
      <c r="E807" s="726">
        <f t="shared" si="79"/>
        <v>78628.190454545445</v>
      </c>
      <c r="F807" s="726">
        <f t="shared" si="72"/>
        <v>2457130.9517045454</v>
      </c>
      <c r="G807" s="673">
        <f t="shared" si="73"/>
        <v>2496445.0469318181</v>
      </c>
      <c r="H807" s="721">
        <f>+J790*G807+E807</f>
        <v>461614.16209151718</v>
      </c>
      <c r="I807" s="727">
        <f>+J791*G807+E807</f>
        <v>461614.16209151718</v>
      </c>
      <c r="J807" s="724">
        <f t="shared" si="74"/>
        <v>0</v>
      </c>
      <c r="K807" s="724"/>
      <c r="L807" s="728"/>
      <c r="M807" s="724">
        <f t="shared" si="75"/>
        <v>0</v>
      </c>
      <c r="N807" s="728"/>
      <c r="O807" s="724">
        <f t="shared" si="76"/>
        <v>0</v>
      </c>
      <c r="P807" s="724">
        <f t="shared" si="77"/>
        <v>0</v>
      </c>
      <c r="Q807" s="674"/>
    </row>
    <row r="808" spans="2:17">
      <c r="B808" s="330"/>
      <c r="C808" s="720">
        <f>IF(D789="","-",+C807+1)</f>
        <v>2028</v>
      </c>
      <c r="D808" s="673">
        <f t="shared" si="78"/>
        <v>2457130.9517045454</v>
      </c>
      <c r="E808" s="726">
        <f t="shared" si="79"/>
        <v>78628.190454545445</v>
      </c>
      <c r="F808" s="726">
        <f t="shared" si="72"/>
        <v>2378502.76125</v>
      </c>
      <c r="G808" s="673">
        <f t="shared" si="73"/>
        <v>2417816.8564772727</v>
      </c>
      <c r="H808" s="721">
        <f>+J790*G808+E808</f>
        <v>449551.61180373857</v>
      </c>
      <c r="I808" s="727">
        <f>+J791*G808+E808</f>
        <v>449551.61180373857</v>
      </c>
      <c r="J808" s="724">
        <f t="shared" si="74"/>
        <v>0</v>
      </c>
      <c r="K808" s="724"/>
      <c r="L808" s="728"/>
      <c r="M808" s="724">
        <f t="shared" si="75"/>
        <v>0</v>
      </c>
      <c r="N808" s="728"/>
      <c r="O808" s="724">
        <f t="shared" si="76"/>
        <v>0</v>
      </c>
      <c r="P808" s="724">
        <f t="shared" si="77"/>
        <v>0</v>
      </c>
      <c r="Q808" s="674"/>
    </row>
    <row r="809" spans="2:17">
      <c r="B809" s="330"/>
      <c r="C809" s="720">
        <f>IF(D789="","-",+C808+1)</f>
        <v>2029</v>
      </c>
      <c r="D809" s="673">
        <f t="shared" si="78"/>
        <v>2378502.76125</v>
      </c>
      <c r="E809" s="726">
        <f t="shared" si="79"/>
        <v>78628.190454545445</v>
      </c>
      <c r="F809" s="726">
        <f t="shared" si="72"/>
        <v>2299874.5707954546</v>
      </c>
      <c r="G809" s="673">
        <f t="shared" si="73"/>
        <v>2339188.6660227273</v>
      </c>
      <c r="H809" s="721">
        <f>+J790*G809+E809</f>
        <v>437489.06151595991</v>
      </c>
      <c r="I809" s="727">
        <f>+J791*G809+E809</f>
        <v>437489.06151595991</v>
      </c>
      <c r="J809" s="724">
        <f t="shared" si="74"/>
        <v>0</v>
      </c>
      <c r="K809" s="724"/>
      <c r="L809" s="728"/>
      <c r="M809" s="724">
        <f t="shared" si="75"/>
        <v>0</v>
      </c>
      <c r="N809" s="728"/>
      <c r="O809" s="724">
        <f t="shared" si="76"/>
        <v>0</v>
      </c>
      <c r="P809" s="724">
        <f t="shared" si="77"/>
        <v>0</v>
      </c>
      <c r="Q809" s="674"/>
    </row>
    <row r="810" spans="2:17">
      <c r="B810" s="330"/>
      <c r="C810" s="720">
        <f>IF(D789="","-",+C809+1)</f>
        <v>2030</v>
      </c>
      <c r="D810" s="673">
        <f t="shared" si="78"/>
        <v>2299874.5707954546</v>
      </c>
      <c r="E810" s="726">
        <f t="shared" si="79"/>
        <v>78628.190454545445</v>
      </c>
      <c r="F810" s="726">
        <f t="shared" si="72"/>
        <v>2221246.3803409091</v>
      </c>
      <c r="G810" s="673">
        <f t="shared" si="73"/>
        <v>2260560.4755681818</v>
      </c>
      <c r="H810" s="721">
        <f>+J790*G810+E810</f>
        <v>425426.51122818131</v>
      </c>
      <c r="I810" s="727">
        <f>+J791*G810+E810</f>
        <v>425426.51122818131</v>
      </c>
      <c r="J810" s="724">
        <f t="shared" si="74"/>
        <v>0</v>
      </c>
      <c r="K810" s="724"/>
      <c r="L810" s="728"/>
      <c r="M810" s="724">
        <f t="shared" si="75"/>
        <v>0</v>
      </c>
      <c r="N810" s="728"/>
      <c r="O810" s="724">
        <f t="shared" si="76"/>
        <v>0</v>
      </c>
      <c r="P810" s="724">
        <f t="shared" si="77"/>
        <v>0</v>
      </c>
      <c r="Q810" s="674"/>
    </row>
    <row r="811" spans="2:17">
      <c r="B811" s="330"/>
      <c r="C811" s="720">
        <f>IF(D789="","-",+C810+1)</f>
        <v>2031</v>
      </c>
      <c r="D811" s="673">
        <f t="shared" si="78"/>
        <v>2221246.3803409091</v>
      </c>
      <c r="E811" s="726">
        <f t="shared" si="79"/>
        <v>78628.190454545445</v>
      </c>
      <c r="F811" s="726">
        <f t="shared" si="72"/>
        <v>2142618.1898863637</v>
      </c>
      <c r="G811" s="673">
        <f t="shared" si="73"/>
        <v>2181932.2851136364</v>
      </c>
      <c r="H811" s="721">
        <f>+J790*G811+E811</f>
        <v>413363.96094040264</v>
      </c>
      <c r="I811" s="727">
        <f>+J791*G811+E811</f>
        <v>413363.96094040264</v>
      </c>
      <c r="J811" s="724">
        <f t="shared" si="74"/>
        <v>0</v>
      </c>
      <c r="K811" s="724"/>
      <c r="L811" s="728"/>
      <c r="M811" s="724">
        <f t="shared" si="75"/>
        <v>0</v>
      </c>
      <c r="N811" s="728"/>
      <c r="O811" s="724">
        <f t="shared" si="76"/>
        <v>0</v>
      </c>
      <c r="P811" s="724">
        <f t="shared" si="77"/>
        <v>0</v>
      </c>
      <c r="Q811" s="674"/>
    </row>
    <row r="812" spans="2:17">
      <c r="B812" s="330"/>
      <c r="C812" s="720">
        <f>IF(D789="","-",+C811+1)</f>
        <v>2032</v>
      </c>
      <c r="D812" s="673">
        <f t="shared" si="78"/>
        <v>2142618.1898863637</v>
      </c>
      <c r="E812" s="726">
        <f t="shared" si="79"/>
        <v>78628.190454545445</v>
      </c>
      <c r="F812" s="726">
        <f t="shared" si="72"/>
        <v>2063989.9994318183</v>
      </c>
      <c r="G812" s="673">
        <f t="shared" si="73"/>
        <v>2103304.094659091</v>
      </c>
      <c r="H812" s="721">
        <f>+J790*G812+E812</f>
        <v>401301.41065262404</v>
      </c>
      <c r="I812" s="727">
        <f>+J791*G812+E812</f>
        <v>401301.41065262404</v>
      </c>
      <c r="J812" s="724">
        <f t="shared" si="74"/>
        <v>0</v>
      </c>
      <c r="K812" s="724"/>
      <c r="L812" s="728"/>
      <c r="M812" s="724">
        <f t="shared" si="75"/>
        <v>0</v>
      </c>
      <c r="N812" s="728"/>
      <c r="O812" s="724">
        <f t="shared" si="76"/>
        <v>0</v>
      </c>
      <c r="P812" s="724">
        <f t="shared" si="77"/>
        <v>0</v>
      </c>
      <c r="Q812" s="674"/>
    </row>
    <row r="813" spans="2:17">
      <c r="B813" s="330"/>
      <c r="C813" s="720">
        <f>IF(D789="","-",+C812+1)</f>
        <v>2033</v>
      </c>
      <c r="D813" s="673">
        <f t="shared" si="78"/>
        <v>2063989.9994318183</v>
      </c>
      <c r="E813" s="726">
        <f t="shared" si="79"/>
        <v>78628.190454545445</v>
      </c>
      <c r="F813" s="726">
        <f t="shared" si="72"/>
        <v>1985361.8089772728</v>
      </c>
      <c r="G813" s="673">
        <f t="shared" si="73"/>
        <v>2024675.9042045455</v>
      </c>
      <c r="H813" s="721">
        <f>+J790*G813+E813</f>
        <v>389238.86036484537</v>
      </c>
      <c r="I813" s="727">
        <f>+J791*G813+E813</f>
        <v>389238.86036484537</v>
      </c>
      <c r="J813" s="724">
        <f t="shared" si="74"/>
        <v>0</v>
      </c>
      <c r="K813" s="724"/>
      <c r="L813" s="728"/>
      <c r="M813" s="724">
        <f t="shared" si="75"/>
        <v>0</v>
      </c>
      <c r="N813" s="728"/>
      <c r="O813" s="724">
        <f t="shared" si="76"/>
        <v>0</v>
      </c>
      <c r="P813" s="724">
        <f t="shared" si="77"/>
        <v>0</v>
      </c>
      <c r="Q813" s="674"/>
    </row>
    <row r="814" spans="2:17">
      <c r="B814" s="330"/>
      <c r="C814" s="720">
        <f>IF(D789="","-",+C813+1)</f>
        <v>2034</v>
      </c>
      <c r="D814" s="673">
        <f t="shared" si="78"/>
        <v>1985361.8089772728</v>
      </c>
      <c r="E814" s="726">
        <f t="shared" si="79"/>
        <v>78628.190454545445</v>
      </c>
      <c r="F814" s="726">
        <f t="shared" si="72"/>
        <v>1906733.6185227274</v>
      </c>
      <c r="G814" s="673">
        <f t="shared" si="73"/>
        <v>1946047.7137500001</v>
      </c>
      <c r="H814" s="721">
        <f>+J790*G814+E814</f>
        <v>377176.31007706677</v>
      </c>
      <c r="I814" s="727">
        <f>+J791*G814+E814</f>
        <v>377176.31007706677</v>
      </c>
      <c r="J814" s="724">
        <f t="shared" si="74"/>
        <v>0</v>
      </c>
      <c r="K814" s="724"/>
      <c r="L814" s="728"/>
      <c r="M814" s="724">
        <f t="shared" si="75"/>
        <v>0</v>
      </c>
      <c r="N814" s="728"/>
      <c r="O814" s="724">
        <f t="shared" si="76"/>
        <v>0</v>
      </c>
      <c r="P814" s="724">
        <f t="shared" si="77"/>
        <v>0</v>
      </c>
      <c r="Q814" s="674"/>
    </row>
    <row r="815" spans="2:17">
      <c r="B815" s="330"/>
      <c r="C815" s="720">
        <f>IF(D789="","-",+C814+1)</f>
        <v>2035</v>
      </c>
      <c r="D815" s="673">
        <f t="shared" si="78"/>
        <v>1906733.6185227274</v>
      </c>
      <c r="E815" s="726">
        <f t="shared" si="79"/>
        <v>78628.190454545445</v>
      </c>
      <c r="F815" s="726">
        <f t="shared" si="72"/>
        <v>1828105.428068182</v>
      </c>
      <c r="G815" s="673">
        <f t="shared" si="73"/>
        <v>1867419.5232954547</v>
      </c>
      <c r="H815" s="721">
        <f>+J790*G815+E815</f>
        <v>365113.7597892881</v>
      </c>
      <c r="I815" s="727">
        <f>+J791*G815+E815</f>
        <v>365113.7597892881</v>
      </c>
      <c r="J815" s="724">
        <f t="shared" si="74"/>
        <v>0</v>
      </c>
      <c r="K815" s="724"/>
      <c r="L815" s="728"/>
      <c r="M815" s="724">
        <f t="shared" si="75"/>
        <v>0</v>
      </c>
      <c r="N815" s="728"/>
      <c r="O815" s="724">
        <f t="shared" si="76"/>
        <v>0</v>
      </c>
      <c r="P815" s="724">
        <f t="shared" si="77"/>
        <v>0</v>
      </c>
      <c r="Q815" s="674"/>
    </row>
    <row r="816" spans="2:17">
      <c r="B816" s="330"/>
      <c r="C816" s="720">
        <f>IF(D789="","-",+C815+1)</f>
        <v>2036</v>
      </c>
      <c r="D816" s="673">
        <f t="shared" si="78"/>
        <v>1828105.428068182</v>
      </c>
      <c r="E816" s="726">
        <f t="shared" si="79"/>
        <v>78628.190454545445</v>
      </c>
      <c r="F816" s="726">
        <f t="shared" si="72"/>
        <v>1749477.2376136365</v>
      </c>
      <c r="G816" s="673">
        <f t="shared" si="73"/>
        <v>1788791.3328409093</v>
      </c>
      <c r="H816" s="721">
        <f>+J790*G816+E816</f>
        <v>353051.2095015095</v>
      </c>
      <c r="I816" s="727">
        <f>+J791*G816+E816</f>
        <v>353051.2095015095</v>
      </c>
      <c r="J816" s="724">
        <f t="shared" si="74"/>
        <v>0</v>
      </c>
      <c r="K816" s="724"/>
      <c r="L816" s="728"/>
      <c r="M816" s="724">
        <f t="shared" si="75"/>
        <v>0</v>
      </c>
      <c r="N816" s="728"/>
      <c r="O816" s="724">
        <f t="shared" si="76"/>
        <v>0</v>
      </c>
      <c r="P816" s="724">
        <f t="shared" si="77"/>
        <v>0</v>
      </c>
      <c r="Q816" s="674"/>
    </row>
    <row r="817" spans="2:17">
      <c r="B817" s="330"/>
      <c r="C817" s="720">
        <f>IF(D789="","-",+C816+1)</f>
        <v>2037</v>
      </c>
      <c r="D817" s="673">
        <f t="shared" si="78"/>
        <v>1749477.2376136365</v>
      </c>
      <c r="E817" s="726">
        <f t="shared" si="79"/>
        <v>78628.190454545445</v>
      </c>
      <c r="F817" s="726">
        <f t="shared" si="72"/>
        <v>1670849.0471590911</v>
      </c>
      <c r="G817" s="673">
        <f t="shared" si="73"/>
        <v>1710163.1423863638</v>
      </c>
      <c r="H817" s="721">
        <f>+J790*G817+E817</f>
        <v>340988.65921373083</v>
      </c>
      <c r="I817" s="727">
        <f>+J791*G817+E817</f>
        <v>340988.65921373083</v>
      </c>
      <c r="J817" s="724">
        <f t="shared" si="74"/>
        <v>0</v>
      </c>
      <c r="K817" s="724"/>
      <c r="L817" s="728"/>
      <c r="M817" s="724">
        <f t="shared" si="75"/>
        <v>0</v>
      </c>
      <c r="N817" s="728"/>
      <c r="O817" s="724">
        <f t="shared" si="76"/>
        <v>0</v>
      </c>
      <c r="P817" s="724">
        <f t="shared" si="77"/>
        <v>0</v>
      </c>
      <c r="Q817" s="674"/>
    </row>
    <row r="818" spans="2:17">
      <c r="B818" s="330"/>
      <c r="C818" s="720">
        <f>IF(D789="","-",+C817+1)</f>
        <v>2038</v>
      </c>
      <c r="D818" s="673">
        <f t="shared" si="78"/>
        <v>1670849.0471590911</v>
      </c>
      <c r="E818" s="726">
        <f t="shared" si="79"/>
        <v>78628.190454545445</v>
      </c>
      <c r="F818" s="726">
        <f t="shared" si="72"/>
        <v>1592220.8567045457</v>
      </c>
      <c r="G818" s="673">
        <f t="shared" si="73"/>
        <v>1631534.9519318184</v>
      </c>
      <c r="H818" s="721">
        <f>+J790*G818+E818</f>
        <v>328926.10892595223</v>
      </c>
      <c r="I818" s="727">
        <f>+J791*G818+E818</f>
        <v>328926.10892595223</v>
      </c>
      <c r="J818" s="724">
        <f t="shared" si="74"/>
        <v>0</v>
      </c>
      <c r="K818" s="724"/>
      <c r="L818" s="728"/>
      <c r="M818" s="724">
        <f t="shared" si="75"/>
        <v>0</v>
      </c>
      <c r="N818" s="728"/>
      <c r="O818" s="724">
        <f t="shared" si="76"/>
        <v>0</v>
      </c>
      <c r="P818" s="724">
        <f t="shared" si="77"/>
        <v>0</v>
      </c>
      <c r="Q818" s="674"/>
    </row>
    <row r="819" spans="2:17">
      <c r="B819" s="330"/>
      <c r="C819" s="720">
        <f>IF(D789="","-",+C818+1)</f>
        <v>2039</v>
      </c>
      <c r="D819" s="673">
        <f t="shared" si="78"/>
        <v>1592220.8567045457</v>
      </c>
      <c r="E819" s="726">
        <f t="shared" si="79"/>
        <v>78628.190454545445</v>
      </c>
      <c r="F819" s="726">
        <f t="shared" si="72"/>
        <v>1513592.6662500002</v>
      </c>
      <c r="G819" s="673">
        <f t="shared" si="73"/>
        <v>1552906.761477273</v>
      </c>
      <c r="H819" s="721">
        <f>+J790*G819+E819</f>
        <v>316863.55863817356</v>
      </c>
      <c r="I819" s="727">
        <f>+J791*G819+E819</f>
        <v>316863.55863817356</v>
      </c>
      <c r="J819" s="724">
        <f t="shared" si="74"/>
        <v>0</v>
      </c>
      <c r="K819" s="724"/>
      <c r="L819" s="728"/>
      <c r="M819" s="724">
        <f t="shared" si="75"/>
        <v>0</v>
      </c>
      <c r="N819" s="728"/>
      <c r="O819" s="724">
        <f t="shared" si="76"/>
        <v>0</v>
      </c>
      <c r="P819" s="724">
        <f t="shared" si="77"/>
        <v>0</v>
      </c>
      <c r="Q819" s="674"/>
    </row>
    <row r="820" spans="2:17">
      <c r="B820" s="330"/>
      <c r="C820" s="720">
        <f>IF(D789="","-",+C819+1)</f>
        <v>2040</v>
      </c>
      <c r="D820" s="673">
        <f t="shared" si="78"/>
        <v>1513592.6662500002</v>
      </c>
      <c r="E820" s="726">
        <f t="shared" si="79"/>
        <v>78628.190454545445</v>
      </c>
      <c r="F820" s="726">
        <f t="shared" si="72"/>
        <v>1434964.4757954548</v>
      </c>
      <c r="G820" s="673">
        <f t="shared" si="73"/>
        <v>1474278.5710227275</v>
      </c>
      <c r="H820" s="721">
        <f>+J790*G820+E820</f>
        <v>304801.00835039496</v>
      </c>
      <c r="I820" s="727">
        <f>+J791*G820+E820</f>
        <v>304801.00835039496</v>
      </c>
      <c r="J820" s="724">
        <f t="shared" si="74"/>
        <v>0</v>
      </c>
      <c r="K820" s="724"/>
      <c r="L820" s="728"/>
      <c r="M820" s="724">
        <f t="shared" si="75"/>
        <v>0</v>
      </c>
      <c r="N820" s="728"/>
      <c r="O820" s="724">
        <f t="shared" si="76"/>
        <v>0</v>
      </c>
      <c r="P820" s="724">
        <f t="shared" si="77"/>
        <v>0</v>
      </c>
      <c r="Q820" s="674"/>
    </row>
    <row r="821" spans="2:17">
      <c r="B821" s="330"/>
      <c r="C821" s="720">
        <f>IF(D789="","-",+C820+1)</f>
        <v>2041</v>
      </c>
      <c r="D821" s="673">
        <f t="shared" si="78"/>
        <v>1434964.4757954548</v>
      </c>
      <c r="E821" s="726">
        <f t="shared" si="79"/>
        <v>78628.190454545445</v>
      </c>
      <c r="F821" s="726">
        <f t="shared" si="72"/>
        <v>1356336.2853409094</v>
      </c>
      <c r="G821" s="673">
        <f t="shared" si="73"/>
        <v>1395650.3805681821</v>
      </c>
      <c r="H821" s="721">
        <f>+J790*G821+E821</f>
        <v>292738.45806261629</v>
      </c>
      <c r="I821" s="727">
        <f>+J791*G821+E821</f>
        <v>292738.45806261629</v>
      </c>
      <c r="J821" s="724">
        <f t="shared" si="74"/>
        <v>0</v>
      </c>
      <c r="K821" s="724"/>
      <c r="L821" s="728"/>
      <c r="M821" s="724">
        <f t="shared" si="75"/>
        <v>0</v>
      </c>
      <c r="N821" s="728"/>
      <c r="O821" s="724">
        <f t="shared" si="76"/>
        <v>0</v>
      </c>
      <c r="P821" s="724">
        <f t="shared" si="77"/>
        <v>0</v>
      </c>
      <c r="Q821" s="674"/>
    </row>
    <row r="822" spans="2:17">
      <c r="B822" s="330"/>
      <c r="C822" s="720">
        <f>IF(D789="","-",+C821+1)</f>
        <v>2042</v>
      </c>
      <c r="D822" s="673">
        <f t="shared" si="78"/>
        <v>1356336.2853409094</v>
      </c>
      <c r="E822" s="726">
        <f t="shared" si="79"/>
        <v>78628.190454545445</v>
      </c>
      <c r="F822" s="726">
        <f t="shared" si="72"/>
        <v>1277708.0948863639</v>
      </c>
      <c r="G822" s="673">
        <f t="shared" si="73"/>
        <v>1317022.1901136367</v>
      </c>
      <c r="H822" s="721">
        <f>+J790*G822+E822</f>
        <v>280675.90777483769</v>
      </c>
      <c r="I822" s="727">
        <f>+J791*G822+E822</f>
        <v>280675.90777483769</v>
      </c>
      <c r="J822" s="724">
        <f t="shared" si="74"/>
        <v>0</v>
      </c>
      <c r="K822" s="724"/>
      <c r="L822" s="728"/>
      <c r="M822" s="724">
        <f t="shared" si="75"/>
        <v>0</v>
      </c>
      <c r="N822" s="728"/>
      <c r="O822" s="724">
        <f t="shared" si="76"/>
        <v>0</v>
      </c>
      <c r="P822" s="724">
        <f t="shared" si="77"/>
        <v>0</v>
      </c>
      <c r="Q822" s="674"/>
    </row>
    <row r="823" spans="2:17">
      <c r="B823" s="330"/>
      <c r="C823" s="720">
        <f>IF(D789="","-",+C822+1)</f>
        <v>2043</v>
      </c>
      <c r="D823" s="673">
        <f t="shared" si="78"/>
        <v>1277708.0948863639</v>
      </c>
      <c r="E823" s="726">
        <f t="shared" si="79"/>
        <v>78628.190454545445</v>
      </c>
      <c r="F823" s="726">
        <f t="shared" si="72"/>
        <v>1199079.9044318185</v>
      </c>
      <c r="G823" s="673">
        <f t="shared" si="73"/>
        <v>1238393.9996590912</v>
      </c>
      <c r="H823" s="721">
        <f>+J790*G823+E823</f>
        <v>268613.35748705902</v>
      </c>
      <c r="I823" s="727">
        <f>+J791*G823+E823</f>
        <v>268613.35748705902</v>
      </c>
      <c r="J823" s="724">
        <f t="shared" si="74"/>
        <v>0</v>
      </c>
      <c r="K823" s="724"/>
      <c r="L823" s="728"/>
      <c r="M823" s="724">
        <f t="shared" si="75"/>
        <v>0</v>
      </c>
      <c r="N823" s="728"/>
      <c r="O823" s="724">
        <f t="shared" si="76"/>
        <v>0</v>
      </c>
      <c r="P823" s="724">
        <f t="shared" si="77"/>
        <v>0</v>
      </c>
      <c r="Q823" s="674"/>
    </row>
    <row r="824" spans="2:17">
      <c r="B824" s="330"/>
      <c r="C824" s="720">
        <f>IF(D789="","-",+C823+1)</f>
        <v>2044</v>
      </c>
      <c r="D824" s="673">
        <f t="shared" si="78"/>
        <v>1199079.9044318185</v>
      </c>
      <c r="E824" s="726">
        <f t="shared" si="79"/>
        <v>78628.190454545445</v>
      </c>
      <c r="F824" s="726">
        <f t="shared" si="72"/>
        <v>1120451.7139772731</v>
      </c>
      <c r="G824" s="673">
        <f t="shared" si="73"/>
        <v>1159765.8092045458</v>
      </c>
      <c r="H824" s="721">
        <f>+J790*G824+E824</f>
        <v>256550.80719928042</v>
      </c>
      <c r="I824" s="727">
        <f>+J791*G824+E824</f>
        <v>256550.80719928042</v>
      </c>
      <c r="J824" s="724">
        <f t="shared" si="74"/>
        <v>0</v>
      </c>
      <c r="K824" s="724"/>
      <c r="L824" s="728"/>
      <c r="M824" s="724">
        <f t="shared" si="75"/>
        <v>0</v>
      </c>
      <c r="N824" s="728"/>
      <c r="O824" s="724">
        <f t="shared" si="76"/>
        <v>0</v>
      </c>
      <c r="P824" s="724">
        <f t="shared" si="77"/>
        <v>0</v>
      </c>
      <c r="Q824" s="674"/>
    </row>
    <row r="825" spans="2:17">
      <c r="B825" s="330"/>
      <c r="C825" s="720">
        <f>IF(D789="","-",+C824+1)</f>
        <v>2045</v>
      </c>
      <c r="D825" s="673">
        <f t="shared" si="78"/>
        <v>1120451.7139772731</v>
      </c>
      <c r="E825" s="726">
        <f t="shared" si="79"/>
        <v>78628.190454545445</v>
      </c>
      <c r="F825" s="726">
        <f t="shared" si="72"/>
        <v>1041823.5235227277</v>
      </c>
      <c r="G825" s="673">
        <f t="shared" si="73"/>
        <v>1081137.6187500004</v>
      </c>
      <c r="H825" s="721">
        <f>+J790*G825+E825</f>
        <v>244488.25691150175</v>
      </c>
      <c r="I825" s="727">
        <f>+J791*G825+E825</f>
        <v>244488.25691150175</v>
      </c>
      <c r="J825" s="724">
        <f t="shared" si="74"/>
        <v>0</v>
      </c>
      <c r="K825" s="724"/>
      <c r="L825" s="728"/>
      <c r="M825" s="724">
        <f t="shared" si="75"/>
        <v>0</v>
      </c>
      <c r="N825" s="728"/>
      <c r="O825" s="724">
        <f t="shared" si="76"/>
        <v>0</v>
      </c>
      <c r="P825" s="724">
        <f t="shared" si="77"/>
        <v>0</v>
      </c>
      <c r="Q825" s="674"/>
    </row>
    <row r="826" spans="2:17">
      <c r="B826" s="330"/>
      <c r="C826" s="720">
        <f>IF(D789="","-",+C825+1)</f>
        <v>2046</v>
      </c>
      <c r="D826" s="673">
        <f t="shared" si="78"/>
        <v>1041823.5235227277</v>
      </c>
      <c r="E826" s="726">
        <f t="shared" si="79"/>
        <v>78628.190454545445</v>
      </c>
      <c r="F826" s="726">
        <f t="shared" si="72"/>
        <v>963195.33306818223</v>
      </c>
      <c r="G826" s="673">
        <f t="shared" si="73"/>
        <v>1002509.4282954549</v>
      </c>
      <c r="H826" s="721">
        <f>+J790*G826+E826</f>
        <v>232425.70662372315</v>
      </c>
      <c r="I826" s="727">
        <f>+J791*G826+E826</f>
        <v>232425.70662372315</v>
      </c>
      <c r="J826" s="724">
        <f t="shared" si="74"/>
        <v>0</v>
      </c>
      <c r="K826" s="724"/>
      <c r="L826" s="728"/>
      <c r="M826" s="724">
        <f t="shared" si="75"/>
        <v>0</v>
      </c>
      <c r="N826" s="728"/>
      <c r="O826" s="724">
        <f t="shared" si="76"/>
        <v>0</v>
      </c>
      <c r="P826" s="724">
        <f t="shared" si="77"/>
        <v>0</v>
      </c>
      <c r="Q826" s="674"/>
    </row>
    <row r="827" spans="2:17">
      <c r="B827" s="330"/>
      <c r="C827" s="720">
        <f>IF(D789="","-",+C826+1)</f>
        <v>2047</v>
      </c>
      <c r="D827" s="673">
        <f t="shared" si="78"/>
        <v>963195.33306818223</v>
      </c>
      <c r="E827" s="726">
        <f t="shared" si="79"/>
        <v>78628.190454545445</v>
      </c>
      <c r="F827" s="726">
        <f t="shared" si="72"/>
        <v>884567.1426136368</v>
      </c>
      <c r="G827" s="673">
        <f t="shared" si="73"/>
        <v>923881.23784090951</v>
      </c>
      <c r="H827" s="721">
        <f>+J790*G827+E827</f>
        <v>220363.15633594448</v>
      </c>
      <c r="I827" s="727">
        <f>+J791*G827+E827</f>
        <v>220363.15633594448</v>
      </c>
      <c r="J827" s="724">
        <f t="shared" si="74"/>
        <v>0</v>
      </c>
      <c r="K827" s="724"/>
      <c r="L827" s="728"/>
      <c r="M827" s="724">
        <f t="shared" si="75"/>
        <v>0</v>
      </c>
      <c r="N827" s="728"/>
      <c r="O827" s="724">
        <f t="shared" si="76"/>
        <v>0</v>
      </c>
      <c r="P827" s="724">
        <f t="shared" si="77"/>
        <v>0</v>
      </c>
      <c r="Q827" s="674"/>
    </row>
    <row r="828" spans="2:17">
      <c r="B828" s="330"/>
      <c r="C828" s="720">
        <f>IF(D789="","-",+C827+1)</f>
        <v>2048</v>
      </c>
      <c r="D828" s="673">
        <f t="shared" si="78"/>
        <v>884567.1426136368</v>
      </c>
      <c r="E828" s="726">
        <f t="shared" si="79"/>
        <v>78628.190454545445</v>
      </c>
      <c r="F828" s="726">
        <f t="shared" si="72"/>
        <v>805938.95215909136</v>
      </c>
      <c r="G828" s="673">
        <f t="shared" si="73"/>
        <v>845253.04738636408</v>
      </c>
      <c r="H828" s="721">
        <f>+J790*G828+E828</f>
        <v>208300.60604816588</v>
      </c>
      <c r="I828" s="727">
        <f>+J791*G828+E828</f>
        <v>208300.60604816588</v>
      </c>
      <c r="J828" s="724">
        <f t="shared" si="74"/>
        <v>0</v>
      </c>
      <c r="K828" s="724"/>
      <c r="L828" s="728"/>
      <c r="M828" s="724">
        <f t="shared" si="75"/>
        <v>0</v>
      </c>
      <c r="N828" s="728"/>
      <c r="O828" s="724">
        <f t="shared" si="76"/>
        <v>0</v>
      </c>
      <c r="P828" s="724">
        <f t="shared" si="77"/>
        <v>0</v>
      </c>
      <c r="Q828" s="674"/>
    </row>
    <row r="829" spans="2:17">
      <c r="B829" s="330"/>
      <c r="C829" s="720">
        <f>IF(D789="","-",+C828+1)</f>
        <v>2049</v>
      </c>
      <c r="D829" s="673">
        <f t="shared" si="78"/>
        <v>805938.95215909136</v>
      </c>
      <c r="E829" s="726">
        <f t="shared" si="79"/>
        <v>78628.190454545445</v>
      </c>
      <c r="F829" s="726">
        <f t="shared" si="72"/>
        <v>727310.76170454593</v>
      </c>
      <c r="G829" s="673">
        <f t="shared" si="73"/>
        <v>766624.85693181865</v>
      </c>
      <c r="H829" s="721">
        <f>+J790*G829+E829</f>
        <v>196238.05576038724</v>
      </c>
      <c r="I829" s="727">
        <f>+J791*G829+E829</f>
        <v>196238.05576038724</v>
      </c>
      <c r="J829" s="724">
        <f t="shared" si="74"/>
        <v>0</v>
      </c>
      <c r="K829" s="724"/>
      <c r="L829" s="728"/>
      <c r="M829" s="724">
        <f t="shared" si="75"/>
        <v>0</v>
      </c>
      <c r="N829" s="728"/>
      <c r="O829" s="724">
        <f t="shared" si="76"/>
        <v>0</v>
      </c>
      <c r="P829" s="724">
        <f t="shared" si="77"/>
        <v>0</v>
      </c>
      <c r="Q829" s="674"/>
    </row>
    <row r="830" spans="2:17">
      <c r="B830" s="330"/>
      <c r="C830" s="720">
        <f>IF(D789="","-",+C829+1)</f>
        <v>2050</v>
      </c>
      <c r="D830" s="673">
        <f t="shared" si="78"/>
        <v>727310.76170454593</v>
      </c>
      <c r="E830" s="726">
        <f t="shared" si="79"/>
        <v>78628.190454545445</v>
      </c>
      <c r="F830" s="726">
        <f t="shared" si="72"/>
        <v>648682.5712500005</v>
      </c>
      <c r="G830" s="673">
        <f t="shared" si="73"/>
        <v>687996.66647727322</v>
      </c>
      <c r="H830" s="721">
        <f>+J790*G830+E830</f>
        <v>184175.50547260861</v>
      </c>
      <c r="I830" s="727">
        <f>+J791*G830+E830</f>
        <v>184175.50547260861</v>
      </c>
      <c r="J830" s="724">
        <f t="shared" si="74"/>
        <v>0</v>
      </c>
      <c r="K830" s="724"/>
      <c r="L830" s="728"/>
      <c r="M830" s="724">
        <f t="shared" si="75"/>
        <v>0</v>
      </c>
      <c r="N830" s="728"/>
      <c r="O830" s="724">
        <f t="shared" si="76"/>
        <v>0</v>
      </c>
      <c r="P830" s="724">
        <f t="shared" si="77"/>
        <v>0</v>
      </c>
      <c r="Q830" s="674"/>
    </row>
    <row r="831" spans="2:17">
      <c r="B831" s="330"/>
      <c r="C831" s="720">
        <f>IF(D789="","-",+C830+1)</f>
        <v>2051</v>
      </c>
      <c r="D831" s="673">
        <f t="shared" si="78"/>
        <v>648682.5712500005</v>
      </c>
      <c r="E831" s="726">
        <f t="shared" si="79"/>
        <v>78628.190454545445</v>
      </c>
      <c r="F831" s="726">
        <f t="shared" si="72"/>
        <v>570054.38079545507</v>
      </c>
      <c r="G831" s="673">
        <f t="shared" si="73"/>
        <v>609368.47602272779</v>
      </c>
      <c r="H831" s="721">
        <f>+J790*G831+E831</f>
        <v>172112.95518482997</v>
      </c>
      <c r="I831" s="727">
        <f>+J791*G831+E831</f>
        <v>172112.95518482997</v>
      </c>
      <c r="J831" s="724">
        <f t="shared" si="74"/>
        <v>0</v>
      </c>
      <c r="K831" s="724"/>
      <c r="L831" s="728"/>
      <c r="M831" s="724">
        <f t="shared" si="75"/>
        <v>0</v>
      </c>
      <c r="N831" s="728"/>
      <c r="O831" s="724">
        <f t="shared" si="76"/>
        <v>0</v>
      </c>
      <c r="P831" s="724">
        <f t="shared" si="77"/>
        <v>0</v>
      </c>
      <c r="Q831" s="674"/>
    </row>
    <row r="832" spans="2:17">
      <c r="B832" s="330"/>
      <c r="C832" s="720">
        <f>IF(D789="","-",+C831+1)</f>
        <v>2052</v>
      </c>
      <c r="D832" s="673">
        <f t="shared" si="78"/>
        <v>570054.38079545507</v>
      </c>
      <c r="E832" s="726">
        <f t="shared" si="79"/>
        <v>78628.190454545445</v>
      </c>
      <c r="F832" s="726">
        <f t="shared" si="72"/>
        <v>491426.19034090964</v>
      </c>
      <c r="G832" s="673">
        <f t="shared" si="73"/>
        <v>530740.28556818236</v>
      </c>
      <c r="H832" s="721">
        <f>+J790*G832+E832</f>
        <v>160050.40489705134</v>
      </c>
      <c r="I832" s="727">
        <f>+J791*G832+E832</f>
        <v>160050.40489705134</v>
      </c>
      <c r="J832" s="724">
        <f t="shared" si="74"/>
        <v>0</v>
      </c>
      <c r="K832" s="724"/>
      <c r="L832" s="728"/>
      <c r="M832" s="724">
        <f t="shared" si="75"/>
        <v>0</v>
      </c>
      <c r="N832" s="728"/>
      <c r="O832" s="724">
        <f t="shared" si="76"/>
        <v>0</v>
      </c>
      <c r="P832" s="724">
        <f t="shared" si="77"/>
        <v>0</v>
      </c>
      <c r="Q832" s="674"/>
    </row>
    <row r="833" spans="2:17">
      <c r="B833" s="330"/>
      <c r="C833" s="720">
        <f>IF(D789="","-",+C832+1)</f>
        <v>2053</v>
      </c>
      <c r="D833" s="673">
        <f t="shared" si="78"/>
        <v>491426.19034090964</v>
      </c>
      <c r="E833" s="726">
        <f t="shared" si="79"/>
        <v>78628.190454545445</v>
      </c>
      <c r="F833" s="726">
        <f t="shared" si="72"/>
        <v>412797.99988636421</v>
      </c>
      <c r="G833" s="673">
        <f t="shared" si="73"/>
        <v>452112.09511363693</v>
      </c>
      <c r="H833" s="721">
        <f>+J790*G833+E833</f>
        <v>147987.8546092727</v>
      </c>
      <c r="I833" s="727">
        <f>+J791*G833+E833</f>
        <v>147987.8546092727</v>
      </c>
      <c r="J833" s="724">
        <f t="shared" si="74"/>
        <v>0</v>
      </c>
      <c r="K833" s="724"/>
      <c r="L833" s="728"/>
      <c r="M833" s="724">
        <f t="shared" si="75"/>
        <v>0</v>
      </c>
      <c r="N833" s="728"/>
      <c r="O833" s="724">
        <f t="shared" si="76"/>
        <v>0</v>
      </c>
      <c r="P833" s="724">
        <f t="shared" si="77"/>
        <v>0</v>
      </c>
      <c r="Q833" s="674"/>
    </row>
    <row r="834" spans="2:17">
      <c r="B834" s="330"/>
      <c r="C834" s="720">
        <f>IF(D789="","-",+C833+1)</f>
        <v>2054</v>
      </c>
      <c r="D834" s="673">
        <f t="shared" si="78"/>
        <v>412797.99988636421</v>
      </c>
      <c r="E834" s="726">
        <f t="shared" si="79"/>
        <v>78628.190454545445</v>
      </c>
      <c r="F834" s="726">
        <f t="shared" si="72"/>
        <v>334169.80943181878</v>
      </c>
      <c r="G834" s="673">
        <f t="shared" si="73"/>
        <v>373483.90465909149</v>
      </c>
      <c r="H834" s="721">
        <f>+J790*G834+E834</f>
        <v>135925.30432149407</v>
      </c>
      <c r="I834" s="727">
        <f>+J791*G834+E834</f>
        <v>135925.30432149407</v>
      </c>
      <c r="J834" s="724">
        <f t="shared" si="74"/>
        <v>0</v>
      </c>
      <c r="K834" s="724"/>
      <c r="L834" s="728"/>
      <c r="M834" s="724">
        <f t="shared" si="75"/>
        <v>0</v>
      </c>
      <c r="N834" s="728"/>
      <c r="O834" s="724">
        <f t="shared" si="76"/>
        <v>0</v>
      </c>
      <c r="P834" s="724">
        <f t="shared" si="77"/>
        <v>0</v>
      </c>
      <c r="Q834" s="674"/>
    </row>
    <row r="835" spans="2:17">
      <c r="B835" s="330"/>
      <c r="C835" s="720">
        <f>IF(D789="","-",+C834+1)</f>
        <v>2055</v>
      </c>
      <c r="D835" s="673">
        <f t="shared" si="78"/>
        <v>334169.80943181878</v>
      </c>
      <c r="E835" s="726">
        <f t="shared" si="79"/>
        <v>78628.190454545445</v>
      </c>
      <c r="F835" s="726">
        <f t="shared" si="72"/>
        <v>255541.61897727335</v>
      </c>
      <c r="G835" s="673">
        <f t="shared" si="73"/>
        <v>294855.71420454606</v>
      </c>
      <c r="H835" s="721">
        <f>+J790*G835+E835</f>
        <v>123862.75403371544</v>
      </c>
      <c r="I835" s="727">
        <f>+J791*G835+E835</f>
        <v>123862.75403371544</v>
      </c>
      <c r="J835" s="724">
        <f t="shared" si="74"/>
        <v>0</v>
      </c>
      <c r="K835" s="724"/>
      <c r="L835" s="728"/>
      <c r="M835" s="724">
        <f t="shared" si="75"/>
        <v>0</v>
      </c>
      <c r="N835" s="728"/>
      <c r="O835" s="724">
        <f t="shared" si="76"/>
        <v>0</v>
      </c>
      <c r="P835" s="724">
        <f t="shared" si="77"/>
        <v>0</v>
      </c>
      <c r="Q835" s="674"/>
    </row>
    <row r="836" spans="2:17">
      <c r="B836" s="330"/>
      <c r="C836" s="720">
        <f>IF(D789="","-",+C835+1)</f>
        <v>2056</v>
      </c>
      <c r="D836" s="673">
        <f t="shared" si="78"/>
        <v>255541.61897727335</v>
      </c>
      <c r="E836" s="726">
        <f t="shared" si="79"/>
        <v>78628.190454545445</v>
      </c>
      <c r="F836" s="726">
        <f t="shared" si="72"/>
        <v>176913.42852272792</v>
      </c>
      <c r="G836" s="673">
        <f t="shared" si="73"/>
        <v>216227.52375000063</v>
      </c>
      <c r="H836" s="721">
        <f>+J790*G836+E836</f>
        <v>111800.2037459368</v>
      </c>
      <c r="I836" s="727">
        <f>+J791*G836+E836</f>
        <v>111800.2037459368</v>
      </c>
      <c r="J836" s="724">
        <f t="shared" si="74"/>
        <v>0</v>
      </c>
      <c r="K836" s="724"/>
      <c r="L836" s="728"/>
      <c r="M836" s="724">
        <f t="shared" si="75"/>
        <v>0</v>
      </c>
      <c r="N836" s="728"/>
      <c r="O836" s="724">
        <f t="shared" si="76"/>
        <v>0</v>
      </c>
      <c r="P836" s="724">
        <f t="shared" si="77"/>
        <v>0</v>
      </c>
      <c r="Q836" s="674"/>
    </row>
    <row r="837" spans="2:17">
      <c r="B837" s="330"/>
      <c r="C837" s="720">
        <f>IF(D789="","-",+C836+1)</f>
        <v>2057</v>
      </c>
      <c r="D837" s="673">
        <f t="shared" si="78"/>
        <v>176913.42852272792</v>
      </c>
      <c r="E837" s="726">
        <f t="shared" si="79"/>
        <v>78628.190454545445</v>
      </c>
      <c r="F837" s="726">
        <f t="shared" si="72"/>
        <v>98285.238068182472</v>
      </c>
      <c r="G837" s="673">
        <f t="shared" si="73"/>
        <v>137599.3332954552</v>
      </c>
      <c r="H837" s="721">
        <f>+J790*G837+E837</f>
        <v>99737.653458158165</v>
      </c>
      <c r="I837" s="727">
        <f>+J791*G837+E837</f>
        <v>99737.653458158165</v>
      </c>
      <c r="J837" s="724">
        <f t="shared" si="74"/>
        <v>0</v>
      </c>
      <c r="K837" s="724"/>
      <c r="L837" s="728"/>
      <c r="M837" s="724">
        <f t="shared" si="75"/>
        <v>0</v>
      </c>
      <c r="N837" s="728"/>
      <c r="O837" s="724">
        <f t="shared" si="76"/>
        <v>0</v>
      </c>
      <c r="P837" s="724">
        <f t="shared" si="77"/>
        <v>0</v>
      </c>
      <c r="Q837" s="674"/>
    </row>
    <row r="838" spans="2:17">
      <c r="B838" s="330"/>
      <c r="C838" s="720">
        <f>IF(D789="","-",+C837+1)</f>
        <v>2058</v>
      </c>
      <c r="D838" s="673">
        <f t="shared" si="78"/>
        <v>98285.238068182472</v>
      </c>
      <c r="E838" s="726">
        <f t="shared" si="79"/>
        <v>78628.190454545445</v>
      </c>
      <c r="F838" s="726">
        <f t="shared" si="72"/>
        <v>19657.047613637027</v>
      </c>
      <c r="G838" s="673">
        <f t="shared" si="73"/>
        <v>58971.14284090975</v>
      </c>
      <c r="H838" s="721">
        <f>+J790*G838+E838</f>
        <v>87675.103170379531</v>
      </c>
      <c r="I838" s="727">
        <f>+J791*G838+E838</f>
        <v>87675.103170379531</v>
      </c>
      <c r="J838" s="724">
        <f t="shared" si="74"/>
        <v>0</v>
      </c>
      <c r="K838" s="724"/>
      <c r="L838" s="728"/>
      <c r="M838" s="724">
        <f t="shared" si="75"/>
        <v>0</v>
      </c>
      <c r="N838" s="728"/>
      <c r="O838" s="724">
        <f t="shared" si="76"/>
        <v>0</v>
      </c>
      <c r="P838" s="724">
        <f t="shared" si="77"/>
        <v>0</v>
      </c>
      <c r="Q838" s="674"/>
    </row>
    <row r="839" spans="2:17">
      <c r="B839" s="330"/>
      <c r="C839" s="720">
        <f>IF(D789="","-",+C838+1)</f>
        <v>2059</v>
      </c>
      <c r="D839" s="673">
        <f t="shared" si="78"/>
        <v>19657.047613637027</v>
      </c>
      <c r="E839" s="726">
        <f t="shared" si="79"/>
        <v>19657.047613637027</v>
      </c>
      <c r="F839" s="726">
        <f t="shared" si="72"/>
        <v>0</v>
      </c>
      <c r="G839" s="673">
        <f t="shared" si="73"/>
        <v>9828.5238068185135</v>
      </c>
      <c r="H839" s="721">
        <f>+J790*G839+E839</f>
        <v>21164.866399609407</v>
      </c>
      <c r="I839" s="727">
        <f>+J791*G839+E839</f>
        <v>21164.866399609407</v>
      </c>
      <c r="J839" s="724">
        <f t="shared" si="74"/>
        <v>0</v>
      </c>
      <c r="K839" s="724"/>
      <c r="L839" s="728"/>
      <c r="M839" s="724">
        <f t="shared" si="75"/>
        <v>0</v>
      </c>
      <c r="N839" s="728"/>
      <c r="O839" s="724">
        <f t="shared" si="76"/>
        <v>0</v>
      </c>
      <c r="P839" s="724">
        <f t="shared" si="77"/>
        <v>0</v>
      </c>
      <c r="Q839" s="674"/>
    </row>
    <row r="840" spans="2:17">
      <c r="B840" s="330"/>
      <c r="C840" s="720">
        <f>IF(D789="","-",+C839+1)</f>
        <v>2060</v>
      </c>
      <c r="D840" s="673">
        <f t="shared" si="78"/>
        <v>0</v>
      </c>
      <c r="E840" s="726">
        <f t="shared" si="79"/>
        <v>0</v>
      </c>
      <c r="F840" s="726">
        <f t="shared" si="72"/>
        <v>0</v>
      </c>
      <c r="G840" s="673">
        <f t="shared" si="73"/>
        <v>0</v>
      </c>
      <c r="H840" s="721">
        <f>+J790*G840+E840</f>
        <v>0</v>
      </c>
      <c r="I840" s="727">
        <f>+J791*G840+E840</f>
        <v>0</v>
      </c>
      <c r="J840" s="724">
        <f t="shared" si="74"/>
        <v>0</v>
      </c>
      <c r="K840" s="724"/>
      <c r="L840" s="728"/>
      <c r="M840" s="724">
        <f t="shared" si="75"/>
        <v>0</v>
      </c>
      <c r="N840" s="728"/>
      <c r="O840" s="724">
        <f t="shared" si="76"/>
        <v>0</v>
      </c>
      <c r="P840" s="724">
        <f t="shared" si="77"/>
        <v>0</v>
      </c>
      <c r="Q840" s="674"/>
    </row>
    <row r="841" spans="2:17">
      <c r="B841" s="330"/>
      <c r="C841" s="720">
        <f>IF(D789="","-",+C840+1)</f>
        <v>2061</v>
      </c>
      <c r="D841" s="673">
        <f t="shared" si="78"/>
        <v>0</v>
      </c>
      <c r="E841" s="726">
        <f t="shared" si="79"/>
        <v>0</v>
      </c>
      <c r="F841" s="726">
        <f t="shared" si="72"/>
        <v>0</v>
      </c>
      <c r="G841" s="673">
        <f t="shared" si="73"/>
        <v>0</v>
      </c>
      <c r="H841" s="721">
        <f>+J790*G841+E841</f>
        <v>0</v>
      </c>
      <c r="I841" s="727">
        <f>+J791*G841+E841</f>
        <v>0</v>
      </c>
      <c r="J841" s="724">
        <f t="shared" si="74"/>
        <v>0</v>
      </c>
      <c r="K841" s="724"/>
      <c r="L841" s="728"/>
      <c r="M841" s="724">
        <f t="shared" si="75"/>
        <v>0</v>
      </c>
      <c r="N841" s="728"/>
      <c r="O841" s="724">
        <f t="shared" si="76"/>
        <v>0</v>
      </c>
      <c r="P841" s="724">
        <f t="shared" si="77"/>
        <v>0</v>
      </c>
      <c r="Q841" s="674"/>
    </row>
    <row r="842" spans="2:17">
      <c r="B842" s="330"/>
      <c r="C842" s="720">
        <f>IF(D789="","-",+C841+1)</f>
        <v>2062</v>
      </c>
      <c r="D842" s="673">
        <f t="shared" si="78"/>
        <v>0</v>
      </c>
      <c r="E842" s="726">
        <f t="shared" si="79"/>
        <v>0</v>
      </c>
      <c r="F842" s="726">
        <f t="shared" si="72"/>
        <v>0</v>
      </c>
      <c r="G842" s="673">
        <f t="shared" si="73"/>
        <v>0</v>
      </c>
      <c r="H842" s="721">
        <f>+J790*G842+E842</f>
        <v>0</v>
      </c>
      <c r="I842" s="727">
        <f>+J791*G842+E842</f>
        <v>0</v>
      </c>
      <c r="J842" s="724">
        <f t="shared" si="74"/>
        <v>0</v>
      </c>
      <c r="K842" s="724"/>
      <c r="L842" s="728"/>
      <c r="M842" s="724">
        <f t="shared" si="75"/>
        <v>0</v>
      </c>
      <c r="N842" s="728"/>
      <c r="O842" s="724">
        <f t="shared" si="76"/>
        <v>0</v>
      </c>
      <c r="P842" s="724">
        <f t="shared" si="77"/>
        <v>0</v>
      </c>
      <c r="Q842" s="674"/>
    </row>
    <row r="843" spans="2:17">
      <c r="B843" s="330"/>
      <c r="C843" s="720">
        <f>IF(D789="","-",+C842+1)</f>
        <v>2063</v>
      </c>
      <c r="D843" s="673">
        <f t="shared" si="78"/>
        <v>0</v>
      </c>
      <c r="E843" s="726">
        <f t="shared" si="79"/>
        <v>0</v>
      </c>
      <c r="F843" s="726">
        <f t="shared" si="72"/>
        <v>0</v>
      </c>
      <c r="G843" s="673">
        <f t="shared" si="73"/>
        <v>0</v>
      </c>
      <c r="H843" s="721">
        <f>+J790*G843+E843</f>
        <v>0</v>
      </c>
      <c r="I843" s="727">
        <f>+J791*G843+E843</f>
        <v>0</v>
      </c>
      <c r="J843" s="724">
        <f t="shared" si="74"/>
        <v>0</v>
      </c>
      <c r="K843" s="724"/>
      <c r="L843" s="728"/>
      <c r="M843" s="724">
        <f t="shared" si="75"/>
        <v>0</v>
      </c>
      <c r="N843" s="728"/>
      <c r="O843" s="724">
        <f t="shared" si="76"/>
        <v>0</v>
      </c>
      <c r="P843" s="724">
        <f t="shared" si="77"/>
        <v>0</v>
      </c>
      <c r="Q843" s="674"/>
    </row>
    <row r="844" spans="2:17">
      <c r="B844" s="330"/>
      <c r="C844" s="720">
        <f>IF(D789="","-",+C843+1)</f>
        <v>2064</v>
      </c>
      <c r="D844" s="673">
        <f t="shared" si="78"/>
        <v>0</v>
      </c>
      <c r="E844" s="726">
        <f t="shared" si="79"/>
        <v>0</v>
      </c>
      <c r="F844" s="726">
        <f t="shared" si="72"/>
        <v>0</v>
      </c>
      <c r="G844" s="673">
        <f t="shared" si="73"/>
        <v>0</v>
      </c>
      <c r="H844" s="721">
        <f>+J790*G844+E844</f>
        <v>0</v>
      </c>
      <c r="I844" s="727">
        <f>+J791*G844+E844</f>
        <v>0</v>
      </c>
      <c r="J844" s="724">
        <f t="shared" si="74"/>
        <v>0</v>
      </c>
      <c r="K844" s="724"/>
      <c r="L844" s="728"/>
      <c r="M844" s="724">
        <f t="shared" si="75"/>
        <v>0</v>
      </c>
      <c r="N844" s="728"/>
      <c r="O844" s="724">
        <f t="shared" si="76"/>
        <v>0</v>
      </c>
      <c r="P844" s="724">
        <f t="shared" si="77"/>
        <v>0</v>
      </c>
      <c r="Q844" s="674"/>
    </row>
    <row r="845" spans="2:17">
      <c r="B845" s="330"/>
      <c r="C845" s="720">
        <f>IF(D789="","-",+C844+1)</f>
        <v>2065</v>
      </c>
      <c r="D845" s="673">
        <f t="shared" si="78"/>
        <v>0</v>
      </c>
      <c r="E845" s="726">
        <f t="shared" si="79"/>
        <v>0</v>
      </c>
      <c r="F845" s="726">
        <f t="shared" si="72"/>
        <v>0</v>
      </c>
      <c r="G845" s="673">
        <f t="shared" si="73"/>
        <v>0</v>
      </c>
      <c r="H845" s="721">
        <f>+J790*G845+E845</f>
        <v>0</v>
      </c>
      <c r="I845" s="727">
        <f>+J791*G845+E845</f>
        <v>0</v>
      </c>
      <c r="J845" s="724">
        <f t="shared" si="74"/>
        <v>0</v>
      </c>
      <c r="K845" s="724"/>
      <c r="L845" s="728"/>
      <c r="M845" s="724">
        <f t="shared" si="75"/>
        <v>0</v>
      </c>
      <c r="N845" s="728"/>
      <c r="O845" s="724">
        <f t="shared" si="76"/>
        <v>0</v>
      </c>
      <c r="P845" s="724">
        <f t="shared" si="77"/>
        <v>0</v>
      </c>
      <c r="Q845" s="674"/>
    </row>
    <row r="846" spans="2:17">
      <c r="B846" s="330"/>
      <c r="C846" s="720">
        <f>IF(D789="","-",+C845+1)</f>
        <v>2066</v>
      </c>
      <c r="D846" s="673">
        <f t="shared" si="78"/>
        <v>0</v>
      </c>
      <c r="E846" s="726">
        <f t="shared" si="79"/>
        <v>0</v>
      </c>
      <c r="F846" s="726">
        <f t="shared" si="72"/>
        <v>0</v>
      </c>
      <c r="G846" s="673">
        <f t="shared" si="73"/>
        <v>0</v>
      </c>
      <c r="H846" s="721">
        <f>+J790*G846+E846</f>
        <v>0</v>
      </c>
      <c r="I846" s="727">
        <f>+J791*G846+E846</f>
        <v>0</v>
      </c>
      <c r="J846" s="724">
        <f t="shared" si="74"/>
        <v>0</v>
      </c>
      <c r="K846" s="724"/>
      <c r="L846" s="728"/>
      <c r="M846" s="724">
        <f t="shared" si="75"/>
        <v>0</v>
      </c>
      <c r="N846" s="728"/>
      <c r="O846" s="724">
        <f t="shared" si="76"/>
        <v>0</v>
      </c>
      <c r="P846" s="724">
        <f t="shared" si="77"/>
        <v>0</v>
      </c>
      <c r="Q846" s="674"/>
    </row>
    <row r="847" spans="2:17">
      <c r="B847" s="330"/>
      <c r="C847" s="720">
        <f>IF(D789="","-",+C846+1)</f>
        <v>2067</v>
      </c>
      <c r="D847" s="673">
        <f t="shared" si="78"/>
        <v>0</v>
      </c>
      <c r="E847" s="726">
        <f t="shared" si="79"/>
        <v>0</v>
      </c>
      <c r="F847" s="726">
        <f t="shared" si="72"/>
        <v>0</v>
      </c>
      <c r="G847" s="673">
        <f t="shared" si="73"/>
        <v>0</v>
      </c>
      <c r="H847" s="721">
        <f>+J790*G847+E847</f>
        <v>0</v>
      </c>
      <c r="I847" s="727">
        <f>+J791*G847+E847</f>
        <v>0</v>
      </c>
      <c r="J847" s="724">
        <f t="shared" si="74"/>
        <v>0</v>
      </c>
      <c r="K847" s="724"/>
      <c r="L847" s="728"/>
      <c r="M847" s="724">
        <f t="shared" si="75"/>
        <v>0</v>
      </c>
      <c r="N847" s="728"/>
      <c r="O847" s="724">
        <f t="shared" si="76"/>
        <v>0</v>
      </c>
      <c r="P847" s="724">
        <f t="shared" si="77"/>
        <v>0</v>
      </c>
      <c r="Q847" s="674"/>
    </row>
    <row r="848" spans="2:17">
      <c r="B848" s="330"/>
      <c r="C848" s="720">
        <f>IF(D789="","-",+C847+1)</f>
        <v>2068</v>
      </c>
      <c r="D848" s="673">
        <f t="shared" si="78"/>
        <v>0</v>
      </c>
      <c r="E848" s="726">
        <f t="shared" si="79"/>
        <v>0</v>
      </c>
      <c r="F848" s="726">
        <f t="shared" si="72"/>
        <v>0</v>
      </c>
      <c r="G848" s="673">
        <f t="shared" si="73"/>
        <v>0</v>
      </c>
      <c r="H848" s="721">
        <f>+J790*G848+E848</f>
        <v>0</v>
      </c>
      <c r="I848" s="727">
        <f>+J791*G848+E848</f>
        <v>0</v>
      </c>
      <c r="J848" s="724">
        <f t="shared" si="74"/>
        <v>0</v>
      </c>
      <c r="K848" s="724"/>
      <c r="L848" s="728"/>
      <c r="M848" s="724">
        <f t="shared" si="75"/>
        <v>0</v>
      </c>
      <c r="N848" s="728"/>
      <c r="O848" s="724">
        <f t="shared" si="76"/>
        <v>0</v>
      </c>
      <c r="P848" s="724">
        <f t="shared" si="77"/>
        <v>0</v>
      </c>
      <c r="Q848" s="674"/>
    </row>
    <row r="849" spans="1:17">
      <c r="B849" s="330"/>
      <c r="C849" s="720">
        <f>IF(D789="","-",+C848+1)</f>
        <v>2069</v>
      </c>
      <c r="D849" s="673">
        <f t="shared" si="78"/>
        <v>0</v>
      </c>
      <c r="E849" s="726">
        <f t="shared" si="79"/>
        <v>0</v>
      </c>
      <c r="F849" s="726">
        <f t="shared" si="72"/>
        <v>0</v>
      </c>
      <c r="G849" s="673">
        <f t="shared" si="73"/>
        <v>0</v>
      </c>
      <c r="H849" s="721">
        <f>+J790*G849+E849</f>
        <v>0</v>
      </c>
      <c r="I849" s="727">
        <f>+J791*G849+E849</f>
        <v>0</v>
      </c>
      <c r="J849" s="724">
        <f t="shared" si="74"/>
        <v>0</v>
      </c>
      <c r="K849" s="724"/>
      <c r="L849" s="728"/>
      <c r="M849" s="724">
        <f t="shared" si="75"/>
        <v>0</v>
      </c>
      <c r="N849" s="728"/>
      <c r="O849" s="724">
        <f t="shared" si="76"/>
        <v>0</v>
      </c>
      <c r="P849" s="724">
        <f t="shared" si="77"/>
        <v>0</v>
      </c>
      <c r="Q849" s="674"/>
    </row>
    <row r="850" spans="1:17">
      <c r="B850" s="330"/>
      <c r="C850" s="720">
        <f>IF(D789="","-",+C849+1)</f>
        <v>2070</v>
      </c>
      <c r="D850" s="673">
        <f t="shared" si="78"/>
        <v>0</v>
      </c>
      <c r="E850" s="726">
        <f t="shared" si="79"/>
        <v>0</v>
      </c>
      <c r="F850" s="726">
        <f t="shared" si="72"/>
        <v>0</v>
      </c>
      <c r="G850" s="673">
        <f t="shared" si="73"/>
        <v>0</v>
      </c>
      <c r="H850" s="721">
        <f>+J790*G850+E850</f>
        <v>0</v>
      </c>
      <c r="I850" s="727">
        <f>+J791*G850+E850</f>
        <v>0</v>
      </c>
      <c r="J850" s="724">
        <f t="shared" si="74"/>
        <v>0</v>
      </c>
      <c r="K850" s="724"/>
      <c r="L850" s="728"/>
      <c r="M850" s="724">
        <f t="shared" si="75"/>
        <v>0</v>
      </c>
      <c r="N850" s="728"/>
      <c r="O850" s="724">
        <f t="shared" si="76"/>
        <v>0</v>
      </c>
      <c r="P850" s="724">
        <f t="shared" si="77"/>
        <v>0</v>
      </c>
      <c r="Q850" s="674"/>
    </row>
    <row r="851" spans="1:17">
      <c r="B851" s="330"/>
      <c r="C851" s="720">
        <f>IF(D789="","-",+C850+1)</f>
        <v>2071</v>
      </c>
      <c r="D851" s="673">
        <f t="shared" si="78"/>
        <v>0</v>
      </c>
      <c r="E851" s="726">
        <f t="shared" si="79"/>
        <v>0</v>
      </c>
      <c r="F851" s="726">
        <f t="shared" si="72"/>
        <v>0</v>
      </c>
      <c r="G851" s="673">
        <f t="shared" si="73"/>
        <v>0</v>
      </c>
      <c r="H851" s="721">
        <f>+J790*G851+E851</f>
        <v>0</v>
      </c>
      <c r="I851" s="727">
        <f>+J791*G851+E851</f>
        <v>0</v>
      </c>
      <c r="J851" s="724">
        <f t="shared" si="74"/>
        <v>0</v>
      </c>
      <c r="K851" s="724"/>
      <c r="L851" s="728"/>
      <c r="M851" s="724">
        <f t="shared" si="75"/>
        <v>0</v>
      </c>
      <c r="N851" s="728"/>
      <c r="O851" s="724">
        <f t="shared" si="76"/>
        <v>0</v>
      </c>
      <c r="P851" s="724">
        <f t="shared" si="77"/>
        <v>0</v>
      </c>
      <c r="Q851" s="674"/>
    </row>
    <row r="852" spans="1:17">
      <c r="B852" s="330"/>
      <c r="C852" s="720">
        <f>IF(D789="","-",+C851+1)</f>
        <v>2072</v>
      </c>
      <c r="D852" s="673">
        <f t="shared" si="78"/>
        <v>0</v>
      </c>
      <c r="E852" s="726">
        <f t="shared" si="79"/>
        <v>0</v>
      </c>
      <c r="F852" s="726">
        <f t="shared" si="72"/>
        <v>0</v>
      </c>
      <c r="G852" s="673">
        <f t="shared" si="73"/>
        <v>0</v>
      </c>
      <c r="H852" s="721">
        <f>+J790*G852+E852</f>
        <v>0</v>
      </c>
      <c r="I852" s="727">
        <f>+J791*G852+E852</f>
        <v>0</v>
      </c>
      <c r="J852" s="724">
        <f t="shared" si="74"/>
        <v>0</v>
      </c>
      <c r="K852" s="724"/>
      <c r="L852" s="728"/>
      <c r="M852" s="724">
        <f t="shared" si="75"/>
        <v>0</v>
      </c>
      <c r="N852" s="728"/>
      <c r="O852" s="724">
        <f t="shared" si="76"/>
        <v>0</v>
      </c>
      <c r="P852" s="724">
        <f t="shared" si="77"/>
        <v>0</v>
      </c>
      <c r="Q852" s="674"/>
    </row>
    <row r="853" spans="1:17">
      <c r="B853" s="330"/>
      <c r="C853" s="720">
        <f>IF(D789="","-",+C852+1)</f>
        <v>2073</v>
      </c>
      <c r="D853" s="673">
        <f t="shared" si="78"/>
        <v>0</v>
      </c>
      <c r="E853" s="726">
        <f t="shared" si="79"/>
        <v>0</v>
      </c>
      <c r="F853" s="726">
        <f t="shared" si="72"/>
        <v>0</v>
      </c>
      <c r="G853" s="673">
        <f t="shared" si="73"/>
        <v>0</v>
      </c>
      <c r="H853" s="721">
        <f>+J790*G853+E853</f>
        <v>0</v>
      </c>
      <c r="I853" s="727">
        <f>+J791*G853+E853</f>
        <v>0</v>
      </c>
      <c r="J853" s="724">
        <f t="shared" si="74"/>
        <v>0</v>
      </c>
      <c r="K853" s="724"/>
      <c r="L853" s="728"/>
      <c r="M853" s="724">
        <f t="shared" si="75"/>
        <v>0</v>
      </c>
      <c r="N853" s="728"/>
      <c r="O853" s="724">
        <f t="shared" si="76"/>
        <v>0</v>
      </c>
      <c r="P853" s="724">
        <f t="shared" si="77"/>
        <v>0</v>
      </c>
      <c r="Q853" s="674"/>
    </row>
    <row r="854" spans="1:17" ht="13.5" thickBot="1">
      <c r="B854" s="330"/>
      <c r="C854" s="730">
        <f>IF(D789="","-",+C853+1)</f>
        <v>2074</v>
      </c>
      <c r="D854" s="731">
        <f t="shared" si="78"/>
        <v>0</v>
      </c>
      <c r="E854" s="1309">
        <f t="shared" si="79"/>
        <v>0</v>
      </c>
      <c r="F854" s="732">
        <f t="shared" si="72"/>
        <v>0</v>
      </c>
      <c r="G854" s="731">
        <f t="shared" si="73"/>
        <v>0</v>
      </c>
      <c r="H854" s="733">
        <f>+J790*G854+E854</f>
        <v>0</v>
      </c>
      <c r="I854" s="733">
        <f>+J791*G854+E854</f>
        <v>0</v>
      </c>
      <c r="J854" s="734">
        <f t="shared" si="74"/>
        <v>0</v>
      </c>
      <c r="K854" s="724"/>
      <c r="L854" s="735"/>
      <c r="M854" s="734">
        <f t="shared" si="75"/>
        <v>0</v>
      </c>
      <c r="N854" s="735"/>
      <c r="O854" s="734">
        <f t="shared" si="76"/>
        <v>0</v>
      </c>
      <c r="P854" s="734">
        <f t="shared" si="77"/>
        <v>0</v>
      </c>
      <c r="Q854" s="674"/>
    </row>
    <row r="855" spans="1:17">
      <c r="B855" s="330"/>
      <c r="C855" s="673" t="s">
        <v>288</v>
      </c>
      <c r="D855" s="669"/>
      <c r="E855" s="669">
        <f>SUM(E795:E854)</f>
        <v>3459640.38</v>
      </c>
      <c r="F855" s="669"/>
      <c r="G855" s="669"/>
      <c r="H855" s="669">
        <f>SUM(H795:H854)</f>
        <v>15268877.111735286</v>
      </c>
      <c r="I855" s="669">
        <f>SUM(I795:I854)</f>
        <v>15268877.111735286</v>
      </c>
      <c r="J855" s="669">
        <f>SUM(J795:J854)</f>
        <v>0</v>
      </c>
      <c r="K855" s="669"/>
      <c r="L855" s="669"/>
      <c r="M855" s="669"/>
      <c r="N855" s="669"/>
      <c r="O855" s="669"/>
      <c r="Q855" s="669"/>
    </row>
    <row r="856" spans="1:17">
      <c r="B856" s="330"/>
      <c r="D856" s="563"/>
      <c r="E856" s="542"/>
      <c r="F856" s="542"/>
      <c r="G856" s="542"/>
      <c r="H856" s="542"/>
      <c r="I856" s="646"/>
      <c r="J856" s="646"/>
      <c r="K856" s="669"/>
      <c r="L856" s="646"/>
      <c r="M856" s="646"/>
      <c r="N856" s="646"/>
      <c r="O856" s="646"/>
      <c r="Q856" s="669"/>
    </row>
    <row r="857" spans="1:17">
      <c r="B857" s="330"/>
      <c r="C857" s="542" t="s">
        <v>595</v>
      </c>
      <c r="D857" s="563"/>
      <c r="E857" s="542"/>
      <c r="F857" s="542"/>
      <c r="G857" s="542"/>
      <c r="H857" s="542"/>
      <c r="I857" s="646"/>
      <c r="J857" s="646"/>
      <c r="K857" s="669"/>
      <c r="L857" s="646"/>
      <c r="M857" s="646"/>
      <c r="N857" s="646"/>
      <c r="O857" s="646"/>
      <c r="Q857" s="669"/>
    </row>
    <row r="858" spans="1:17">
      <c r="B858" s="330"/>
      <c r="D858" s="563"/>
      <c r="E858" s="542"/>
      <c r="F858" s="542"/>
      <c r="G858" s="542"/>
      <c r="H858" s="542"/>
      <c r="I858" s="646"/>
      <c r="J858" s="646"/>
      <c r="K858" s="669"/>
      <c r="L858" s="646"/>
      <c r="M858" s="646"/>
      <c r="N858" s="646"/>
      <c r="O858" s="646"/>
      <c r="Q858" s="669"/>
    </row>
    <row r="859" spans="1:17">
      <c r="B859" s="330"/>
      <c r="C859" s="576" t="s">
        <v>596</v>
      </c>
      <c r="D859" s="673"/>
      <c r="E859" s="673"/>
      <c r="F859" s="673"/>
      <c r="G859" s="673"/>
      <c r="H859" s="669"/>
      <c r="I859" s="669"/>
      <c r="J859" s="674"/>
      <c r="K859" s="674"/>
      <c r="L859" s="674"/>
      <c r="M859" s="674"/>
      <c r="N859" s="674"/>
      <c r="O859" s="674"/>
      <c r="Q859" s="674"/>
    </row>
    <row r="860" spans="1:17">
      <c r="B860" s="330"/>
      <c r="C860" s="576" t="s">
        <v>476</v>
      </c>
      <c r="D860" s="673"/>
      <c r="E860" s="673"/>
      <c r="F860" s="673"/>
      <c r="G860" s="673"/>
      <c r="H860" s="669"/>
      <c r="I860" s="669"/>
      <c r="J860" s="674"/>
      <c r="K860" s="674"/>
      <c r="L860" s="674"/>
      <c r="M860" s="674"/>
      <c r="N860" s="674"/>
      <c r="O860" s="674"/>
      <c r="Q860" s="674"/>
    </row>
    <row r="861" spans="1:17">
      <c r="B861" s="330"/>
      <c r="C861" s="576" t="s">
        <v>289</v>
      </c>
      <c r="D861" s="673"/>
      <c r="E861" s="673"/>
      <c r="F861" s="673"/>
      <c r="G861" s="673"/>
      <c r="H861" s="669"/>
      <c r="I861" s="669"/>
      <c r="J861" s="674"/>
      <c r="K861" s="674"/>
      <c r="L861" s="674"/>
      <c r="M861" s="674"/>
      <c r="N861" s="674"/>
      <c r="O861" s="674"/>
      <c r="Q861" s="674"/>
    </row>
    <row r="862" spans="1:17" ht="20.25">
      <c r="A862" s="675" t="s">
        <v>764</v>
      </c>
      <c r="B862" s="542"/>
      <c r="C862" s="655"/>
      <c r="D862" s="563"/>
      <c r="E862" s="542"/>
      <c r="F862" s="645"/>
      <c r="G862" s="645"/>
      <c r="H862" s="542"/>
      <c r="I862" s="646"/>
      <c r="L862" s="676"/>
      <c r="M862" s="676"/>
      <c r="N862" s="676"/>
      <c r="O862" s="591" t="str">
        <f>"Page "&amp;SUM(Q$3:Q862)&amp;" of "</f>
        <v xml:space="preserve">Page 11 of </v>
      </c>
      <c r="P862" s="592">
        <f>COUNT(Q$8:Q$58212)</f>
        <v>23</v>
      </c>
      <c r="Q862" s="756">
        <v>1</v>
      </c>
    </row>
    <row r="863" spans="1:17">
      <c r="B863" s="542"/>
      <c r="C863" s="542"/>
      <c r="D863" s="563"/>
      <c r="E863" s="542"/>
      <c r="F863" s="542"/>
      <c r="G863" s="542"/>
      <c r="H863" s="542"/>
      <c r="I863" s="646"/>
      <c r="J863" s="542"/>
      <c r="K863" s="588"/>
      <c r="Q863" s="588"/>
    </row>
    <row r="864" spans="1:17" ht="18">
      <c r="B864" s="595" t="s">
        <v>174</v>
      </c>
      <c r="C864" s="677" t="s">
        <v>290</v>
      </c>
      <c r="D864" s="563"/>
      <c r="E864" s="542"/>
      <c r="F864" s="542"/>
      <c r="G864" s="542"/>
      <c r="H864" s="542"/>
      <c r="I864" s="646"/>
      <c r="J864" s="646"/>
      <c r="K864" s="669"/>
      <c r="L864" s="646"/>
      <c r="M864" s="646"/>
      <c r="N864" s="646"/>
      <c r="O864" s="646"/>
      <c r="Q864" s="669"/>
    </row>
    <row r="865" spans="1:17" ht="18.75">
      <c r="B865" s="595"/>
      <c r="C865" s="594"/>
      <c r="D865" s="563"/>
      <c r="E865" s="542"/>
      <c r="F865" s="542"/>
      <c r="G865" s="542"/>
      <c r="H865" s="542"/>
      <c r="I865" s="646"/>
      <c r="J865" s="646"/>
      <c r="K865" s="669"/>
      <c r="L865" s="646"/>
      <c r="M865" s="646"/>
      <c r="N865" s="646"/>
      <c r="O865" s="646"/>
      <c r="Q865" s="669"/>
    </row>
    <row r="866" spans="1:17" ht="18.75">
      <c r="B866" s="595"/>
      <c r="C866" s="594" t="s">
        <v>291</v>
      </c>
      <c r="D866" s="563"/>
      <c r="E866" s="542"/>
      <c r="F866" s="542"/>
      <c r="G866" s="542"/>
      <c r="H866" s="542"/>
      <c r="I866" s="646"/>
      <c r="J866" s="646"/>
      <c r="K866" s="669"/>
      <c r="L866" s="646"/>
      <c r="M866" s="646"/>
      <c r="N866" s="646"/>
      <c r="O866" s="646"/>
      <c r="Q866" s="669"/>
    </row>
    <row r="867" spans="1:17" ht="15.75" thickBot="1">
      <c r="B867" s="330"/>
      <c r="C867" s="396"/>
      <c r="D867" s="563"/>
      <c r="E867" s="542"/>
      <c r="F867" s="542"/>
      <c r="G867" s="542"/>
      <c r="H867" s="542"/>
      <c r="I867" s="646"/>
      <c r="J867" s="646"/>
      <c r="K867" s="669"/>
      <c r="L867" s="646"/>
      <c r="M867" s="646"/>
      <c r="N867" s="646"/>
      <c r="O867" s="646"/>
      <c r="Q867" s="669"/>
    </row>
    <row r="868" spans="1:17" ht="15.75">
      <c r="B868" s="330"/>
      <c r="C868" s="596" t="s">
        <v>292</v>
      </c>
      <c r="D868" s="563"/>
      <c r="E868" s="542"/>
      <c r="F868" s="542"/>
      <c r="G868" s="542"/>
      <c r="H868" s="864"/>
      <c r="I868" s="542" t="s">
        <v>271</v>
      </c>
      <c r="J868" s="542"/>
      <c r="K868" s="588"/>
      <c r="L868" s="757">
        <f>+J874</f>
        <v>2021</v>
      </c>
      <c r="M868" s="739" t="s">
        <v>254</v>
      </c>
      <c r="N868" s="739" t="s">
        <v>255</v>
      </c>
      <c r="O868" s="740" t="s">
        <v>256</v>
      </c>
      <c r="Q868" s="588"/>
    </row>
    <row r="869" spans="1:17" ht="15.75">
      <c r="B869" s="330"/>
      <c r="C869" s="596"/>
      <c r="D869" s="563"/>
      <c r="E869" s="542"/>
      <c r="F869" s="542"/>
      <c r="H869" s="542"/>
      <c r="I869" s="681"/>
      <c r="J869" s="681"/>
      <c r="K869" s="682"/>
      <c r="L869" s="758" t="s">
        <v>455</v>
      </c>
      <c r="M869" s="759">
        <f>VLOOKUP(J874,C881:P940,10)</f>
        <v>630068.6992672648</v>
      </c>
      <c r="N869" s="759">
        <f>VLOOKUP(J874,C881:P940,12)</f>
        <v>630068.6992672648</v>
      </c>
      <c r="O869" s="760">
        <f>+N869-M869</f>
        <v>0</v>
      </c>
      <c r="Q869" s="682"/>
    </row>
    <row r="870" spans="1:17" ht="12.95" customHeight="1">
      <c r="B870" s="330"/>
      <c r="C870" s="684" t="s">
        <v>293</v>
      </c>
      <c r="D870" s="1703" t="s">
        <v>943</v>
      </c>
      <c r="E870" s="1703"/>
      <c r="F870" s="1703"/>
      <c r="G870" s="1703"/>
      <c r="H870" s="1703"/>
      <c r="I870" s="1703"/>
      <c r="J870" s="646"/>
      <c r="K870" s="669"/>
      <c r="L870" s="758" t="s">
        <v>456</v>
      </c>
      <c r="M870" s="761">
        <f>VLOOKUP(J874,C881:P940,6)</f>
        <v>667158.21099225502</v>
      </c>
      <c r="N870" s="761">
        <f>VLOOKUP(J874,C881:P940,7)</f>
        <v>667158.21099225502</v>
      </c>
      <c r="O870" s="762">
        <f>+N870-M870</f>
        <v>0</v>
      </c>
      <c r="Q870" s="669"/>
    </row>
    <row r="871" spans="1:17" ht="13.5" thickBot="1">
      <c r="B871" s="330"/>
      <c r="C871" s="686"/>
      <c r="D871" s="1703" t="s">
        <v>114</v>
      </c>
      <c r="E871" s="1703"/>
      <c r="F871" s="1703"/>
      <c r="G871" s="1703"/>
      <c r="H871" s="1703"/>
      <c r="I871" s="1703"/>
      <c r="J871" s="646"/>
      <c r="K871" s="669"/>
      <c r="L871" s="705" t="s">
        <v>457</v>
      </c>
      <c r="M871" s="763">
        <f>+M870-M869</f>
        <v>37089.51172499021</v>
      </c>
      <c r="N871" s="763">
        <f>+N870-N869</f>
        <v>37089.51172499021</v>
      </c>
      <c r="O871" s="764">
        <f>+O870-O869</f>
        <v>0</v>
      </c>
      <c r="Q871" s="669"/>
    </row>
    <row r="872" spans="1:17" ht="13.5" thickBot="1">
      <c r="B872" s="330"/>
      <c r="C872" s="689"/>
      <c r="D872" s="690"/>
      <c r="E872" s="688"/>
      <c r="F872" s="688"/>
      <c r="G872" s="688"/>
      <c r="H872" s="688"/>
      <c r="I872" s="688"/>
      <c r="J872" s="688"/>
      <c r="K872" s="691"/>
      <c r="L872" s="688"/>
      <c r="M872" s="688"/>
      <c r="N872" s="688"/>
      <c r="O872" s="688"/>
      <c r="P872" s="576"/>
      <c r="Q872" s="691"/>
    </row>
    <row r="873" spans="1:17" ht="13.5" thickBot="1">
      <c r="B873" s="330"/>
      <c r="C873" s="692" t="s">
        <v>294</v>
      </c>
      <c r="D873" s="693"/>
      <c r="E873" s="693"/>
      <c r="F873" s="693"/>
      <c r="G873" s="693"/>
      <c r="H873" s="693"/>
      <c r="I873" s="693"/>
      <c r="J873" s="693"/>
      <c r="K873" s="695"/>
      <c r="P873" s="696"/>
      <c r="Q873" s="695"/>
    </row>
    <row r="874" spans="1:17" ht="15">
      <c r="A874" s="1310"/>
      <c r="B874" s="330"/>
      <c r="C874" s="697" t="s">
        <v>272</v>
      </c>
      <c r="D874" s="1253">
        <v>4474020.16</v>
      </c>
      <c r="E874" s="655" t="s">
        <v>273</v>
      </c>
      <c r="H874" s="698"/>
      <c r="I874" s="698"/>
      <c r="J874" s="1451">
        <f>$J$95</f>
        <v>2021</v>
      </c>
      <c r="K874" s="586"/>
      <c r="L874" s="1717" t="s">
        <v>274</v>
      </c>
      <c r="M874" s="1717"/>
      <c r="N874" s="1717"/>
      <c r="O874" s="1717"/>
      <c r="P874" s="588"/>
      <c r="Q874" s="586"/>
    </row>
    <row r="875" spans="1:17">
      <c r="A875" s="1310"/>
      <c r="B875" s="330"/>
      <c r="C875" s="697" t="s">
        <v>275</v>
      </c>
      <c r="D875" s="865">
        <v>2013</v>
      </c>
      <c r="E875" s="697" t="s">
        <v>276</v>
      </c>
      <c r="F875" s="698"/>
      <c r="G875" s="698"/>
      <c r="I875" s="330"/>
      <c r="J875" s="867">
        <v>0</v>
      </c>
      <c r="K875" s="700"/>
      <c r="L875" s="669" t="s">
        <v>475</v>
      </c>
      <c r="P875" s="588"/>
      <c r="Q875" s="700"/>
    </row>
    <row r="876" spans="1:17">
      <c r="A876" s="1310"/>
      <c r="B876" s="330"/>
      <c r="C876" s="697" t="s">
        <v>277</v>
      </c>
      <c r="D876" s="1253">
        <v>9</v>
      </c>
      <c r="E876" s="697" t="s">
        <v>278</v>
      </c>
      <c r="F876" s="698"/>
      <c r="G876" s="698"/>
      <c r="I876" s="330"/>
      <c r="J876" s="701">
        <f>$F$70</f>
        <v>0.15341253840442806</v>
      </c>
      <c r="K876" s="702"/>
      <c r="L876" s="542" t="str">
        <f>"          INPUT TRUE-UP ARR (WITH &amp; WITHOUT INCENTIVES) FROM EACH PRIOR YEAR"</f>
        <v xml:space="preserve">          INPUT TRUE-UP ARR (WITH &amp; WITHOUT INCENTIVES) FROM EACH PRIOR YEAR</v>
      </c>
      <c r="P876" s="588"/>
      <c r="Q876" s="702"/>
    </row>
    <row r="877" spans="1:17">
      <c r="A877" s="1310"/>
      <c r="B877" s="330"/>
      <c r="C877" s="697" t="s">
        <v>279</v>
      </c>
      <c r="D877" s="703">
        <f>H79</f>
        <v>44</v>
      </c>
      <c r="E877" s="697" t="s">
        <v>280</v>
      </c>
      <c r="F877" s="698"/>
      <c r="G877" s="698"/>
      <c r="I877" s="330"/>
      <c r="J877" s="701">
        <f>IF(H868="",J876,$F$69)</f>
        <v>0.15341253840442806</v>
      </c>
      <c r="K877" s="704"/>
      <c r="L877" s="542" t="s">
        <v>362</v>
      </c>
      <c r="M877" s="704"/>
      <c r="N877" s="704"/>
      <c r="O877" s="704"/>
      <c r="P877" s="588"/>
      <c r="Q877" s="704"/>
    </row>
    <row r="878" spans="1:17" ht="13.5" thickBot="1">
      <c r="A878" s="1310"/>
      <c r="B878" s="330"/>
      <c r="C878" s="697" t="s">
        <v>281</v>
      </c>
      <c r="D878" s="866" t="s">
        <v>933</v>
      </c>
      <c r="E878" s="705" t="s">
        <v>282</v>
      </c>
      <c r="F878" s="706"/>
      <c r="G878" s="706"/>
      <c r="H878" s="707"/>
      <c r="I878" s="707"/>
      <c r="J878" s="685">
        <f>IF(D874=0,0,D874/D877)</f>
        <v>101682.27636363637</v>
      </c>
      <c r="K878" s="669"/>
      <c r="L878" s="669" t="s">
        <v>363</v>
      </c>
      <c r="M878" s="669"/>
      <c r="N878" s="669"/>
      <c r="O878" s="669"/>
      <c r="P878" s="588"/>
      <c r="Q878" s="669"/>
    </row>
    <row r="879" spans="1:17" ht="38.25">
      <c r="A879" s="529"/>
      <c r="B879" s="529"/>
      <c r="C879" s="708" t="s">
        <v>272</v>
      </c>
      <c r="D879" s="709" t="s">
        <v>283</v>
      </c>
      <c r="E879" s="710" t="s">
        <v>284</v>
      </c>
      <c r="F879" s="709" t="s">
        <v>285</v>
      </c>
      <c r="G879" s="709" t="s">
        <v>458</v>
      </c>
      <c r="H879" s="710" t="s">
        <v>356</v>
      </c>
      <c r="I879" s="711" t="s">
        <v>356</v>
      </c>
      <c r="J879" s="708" t="s">
        <v>295</v>
      </c>
      <c r="K879" s="712"/>
      <c r="L879" s="710" t="s">
        <v>358</v>
      </c>
      <c r="M879" s="710" t="s">
        <v>364</v>
      </c>
      <c r="N879" s="710" t="s">
        <v>358</v>
      </c>
      <c r="O879" s="710" t="s">
        <v>366</v>
      </c>
      <c r="P879" s="710" t="s">
        <v>286</v>
      </c>
      <c r="Q879" s="713"/>
    </row>
    <row r="880" spans="1:17" ht="13.5" thickBot="1">
      <c r="B880" s="330"/>
      <c r="C880" s="714" t="s">
        <v>177</v>
      </c>
      <c r="D880" s="715" t="s">
        <v>178</v>
      </c>
      <c r="E880" s="714" t="s">
        <v>37</v>
      </c>
      <c r="F880" s="715" t="s">
        <v>178</v>
      </c>
      <c r="G880" s="715" t="s">
        <v>178</v>
      </c>
      <c r="H880" s="716" t="s">
        <v>298</v>
      </c>
      <c r="I880" s="717" t="s">
        <v>300</v>
      </c>
      <c r="J880" s="718" t="s">
        <v>389</v>
      </c>
      <c r="K880" s="719"/>
      <c r="L880" s="716" t="s">
        <v>287</v>
      </c>
      <c r="M880" s="716" t="s">
        <v>287</v>
      </c>
      <c r="N880" s="716" t="s">
        <v>467</v>
      </c>
      <c r="O880" s="716" t="s">
        <v>467</v>
      </c>
      <c r="P880" s="716" t="s">
        <v>467</v>
      </c>
      <c r="Q880" s="586"/>
    </row>
    <row r="881" spans="2:17">
      <c r="B881" s="330"/>
      <c r="C881" s="720">
        <f>IF(D875= "","-",D875)</f>
        <v>2013</v>
      </c>
      <c r="D881" s="673">
        <f>+D874</f>
        <v>4474020.16</v>
      </c>
      <c r="E881" s="721">
        <f>+J878/12*(12-D876)</f>
        <v>25420.569090909092</v>
      </c>
      <c r="F881" s="765">
        <f t="shared" ref="F881:F940" si="80">+D881-E881</f>
        <v>4448599.5909090908</v>
      </c>
      <c r="G881" s="673">
        <f t="shared" ref="G881:G940" si="81">+(D881+F881)/2</f>
        <v>4461309.875454545</v>
      </c>
      <c r="H881" s="722">
        <f>+J876*G881+E881</f>
        <v>709841.44169313367</v>
      </c>
      <c r="I881" s="723">
        <f>+J877*G881+E881</f>
        <v>709841.44169313367</v>
      </c>
      <c r="J881" s="724">
        <f t="shared" ref="J881:J940" si="82">+I881-H881</f>
        <v>0</v>
      </c>
      <c r="K881" s="724"/>
      <c r="L881" s="728">
        <v>9.9999999999999995E-7</v>
      </c>
      <c r="M881" s="766">
        <f t="shared" ref="M881:M940" si="83">IF(L881&lt;&gt;0,+H881-L881,0)</f>
        <v>709841.44169213367</v>
      </c>
      <c r="N881" s="728">
        <v>9.9999999999999995E-7</v>
      </c>
      <c r="O881" s="766">
        <f t="shared" ref="O881:O940" si="84">IF(N881&lt;&gt;0,+I881-N881,0)</f>
        <v>709841.44169213367</v>
      </c>
      <c r="P881" s="766">
        <f t="shared" ref="P881:P940" si="85">+O881-M881</f>
        <v>0</v>
      </c>
      <c r="Q881" s="674"/>
    </row>
    <row r="882" spans="2:17">
      <c r="B882" s="330"/>
      <c r="C882" s="720">
        <f>IF(D875="","-",+C881+1)</f>
        <v>2014</v>
      </c>
      <c r="D882" s="673">
        <f t="shared" ref="D882:D940" si="86">F881</f>
        <v>4448599.5909090908</v>
      </c>
      <c r="E882" s="726">
        <f>IF(D882&gt;$J$878,$J$878,D882)</f>
        <v>101682.27636363637</v>
      </c>
      <c r="F882" s="726">
        <f t="shared" si="80"/>
        <v>4346917.3145454545</v>
      </c>
      <c r="G882" s="673">
        <f t="shared" si="81"/>
        <v>4397758.4527272731</v>
      </c>
      <c r="H882" s="721">
        <f>+J876*G882+E882</f>
        <v>776353.56388605724</v>
      </c>
      <c r="I882" s="727">
        <f>+J877*G882+E882</f>
        <v>776353.56388605724</v>
      </c>
      <c r="J882" s="724">
        <f t="shared" si="82"/>
        <v>0</v>
      </c>
      <c r="K882" s="724"/>
      <c r="L882" s="728">
        <v>95797</v>
      </c>
      <c r="M882" s="724">
        <f t="shared" si="83"/>
        <v>680556.56388605724</v>
      </c>
      <c r="N882" s="728">
        <v>95797</v>
      </c>
      <c r="O882" s="724">
        <f t="shared" si="84"/>
        <v>680556.56388605724</v>
      </c>
      <c r="P882" s="724">
        <f t="shared" si="85"/>
        <v>0</v>
      </c>
      <c r="Q882" s="674"/>
    </row>
    <row r="883" spans="2:17">
      <c r="B883" s="330"/>
      <c r="C883" s="720">
        <f>IF(D875="","-",+C882+1)</f>
        <v>2015</v>
      </c>
      <c r="D883" s="673">
        <f t="shared" si="86"/>
        <v>4346917.3145454545</v>
      </c>
      <c r="E883" s="726">
        <f t="shared" ref="E883:E940" si="87">IF(D883&gt;$J$878,$J$878,D883)</f>
        <v>101682.27636363637</v>
      </c>
      <c r="F883" s="726">
        <f t="shared" si="80"/>
        <v>4245235.0381818181</v>
      </c>
      <c r="G883" s="673">
        <f t="shared" si="81"/>
        <v>4296076.1763636358</v>
      </c>
      <c r="H883" s="721">
        <f>+J876*G883+E883</f>
        <v>760754.22775837115</v>
      </c>
      <c r="I883" s="727">
        <f>+J877*G883+E883</f>
        <v>760754.22775837115</v>
      </c>
      <c r="J883" s="724">
        <f t="shared" si="82"/>
        <v>0</v>
      </c>
      <c r="K883" s="724"/>
      <c r="L883" s="728">
        <v>660744</v>
      </c>
      <c r="M883" s="724">
        <f t="shared" si="83"/>
        <v>100010.22775837115</v>
      </c>
      <c r="N883" s="728">
        <v>660744</v>
      </c>
      <c r="O883" s="724">
        <f t="shared" si="84"/>
        <v>100010.22775837115</v>
      </c>
      <c r="P883" s="724">
        <f t="shared" si="85"/>
        <v>0</v>
      </c>
      <c r="Q883" s="674"/>
    </row>
    <row r="884" spans="2:17">
      <c r="B884" s="330"/>
      <c r="C884" s="720">
        <f>IF(D875="","-",+C883+1)</f>
        <v>2016</v>
      </c>
      <c r="D884" s="673">
        <f t="shared" si="86"/>
        <v>4245235.0381818181</v>
      </c>
      <c r="E884" s="726">
        <f t="shared" si="87"/>
        <v>101682.27636363637</v>
      </c>
      <c r="F884" s="726">
        <f t="shared" si="80"/>
        <v>4143552.7618181817</v>
      </c>
      <c r="G884" s="673">
        <f t="shared" si="81"/>
        <v>4194393.9000000004</v>
      </c>
      <c r="H884" s="721">
        <f>+J876*G884+E884</f>
        <v>745154.89163068519</v>
      </c>
      <c r="I884" s="727">
        <f>+J877*G884+E884</f>
        <v>745154.89163068519</v>
      </c>
      <c r="J884" s="724">
        <f t="shared" si="82"/>
        <v>0</v>
      </c>
      <c r="K884" s="724"/>
      <c r="L884" s="728">
        <v>821901</v>
      </c>
      <c r="M884" s="724">
        <f t="shared" si="83"/>
        <v>-76746.10836931481</v>
      </c>
      <c r="N884" s="728">
        <v>821901</v>
      </c>
      <c r="O884" s="724">
        <f t="shared" si="84"/>
        <v>-76746.10836931481</v>
      </c>
      <c r="P884" s="724">
        <f t="shared" si="85"/>
        <v>0</v>
      </c>
      <c r="Q884" s="674"/>
    </row>
    <row r="885" spans="2:17">
      <c r="B885" s="330"/>
      <c r="C885" s="720">
        <f>IF(D875="","-",+C884+1)</f>
        <v>2017</v>
      </c>
      <c r="D885" s="673">
        <f t="shared" si="86"/>
        <v>4143552.7618181817</v>
      </c>
      <c r="E885" s="726">
        <f t="shared" si="87"/>
        <v>101682.27636363637</v>
      </c>
      <c r="F885" s="726">
        <f t="shared" si="80"/>
        <v>4041870.4854545454</v>
      </c>
      <c r="G885" s="673">
        <f t="shared" si="81"/>
        <v>4092711.6236363635</v>
      </c>
      <c r="H885" s="721">
        <f>+J876*G885+E885</f>
        <v>729555.55550299911</v>
      </c>
      <c r="I885" s="727">
        <f>+J877*G885+E885</f>
        <v>729555.55550299911</v>
      </c>
      <c r="J885" s="724">
        <f t="shared" si="82"/>
        <v>0</v>
      </c>
      <c r="K885" s="724"/>
      <c r="L885" s="728">
        <v>828442</v>
      </c>
      <c r="M885" s="724">
        <f t="shared" si="83"/>
        <v>-98886.444497000892</v>
      </c>
      <c r="N885" s="728">
        <v>828442</v>
      </c>
      <c r="O885" s="724">
        <f t="shared" si="84"/>
        <v>-98886.444497000892</v>
      </c>
      <c r="P885" s="724">
        <f t="shared" si="85"/>
        <v>0</v>
      </c>
      <c r="Q885" s="674"/>
    </row>
    <row r="886" spans="2:17">
      <c r="B886" s="330"/>
      <c r="C886" s="720">
        <f>IF(D875="","-",+C885+1)</f>
        <v>2018</v>
      </c>
      <c r="D886" s="1455">
        <f t="shared" si="86"/>
        <v>4041870.4854545454</v>
      </c>
      <c r="E886" s="726">
        <f t="shared" si="87"/>
        <v>101682.27636363637</v>
      </c>
      <c r="F886" s="726">
        <f t="shared" si="80"/>
        <v>3940188.209090909</v>
      </c>
      <c r="G886" s="673">
        <f t="shared" si="81"/>
        <v>3991029.3472727272</v>
      </c>
      <c r="H886" s="721">
        <f>+J876*G886+E886</f>
        <v>713956.21937531303</v>
      </c>
      <c r="I886" s="727">
        <f>+J877*G886+E886</f>
        <v>713956.21937531303</v>
      </c>
      <c r="J886" s="724">
        <f t="shared" si="82"/>
        <v>0</v>
      </c>
      <c r="K886" s="724"/>
      <c r="L886" s="728">
        <v>652807</v>
      </c>
      <c r="M886" s="724">
        <f t="shared" si="83"/>
        <v>61149.219375313027</v>
      </c>
      <c r="N886" s="728">
        <v>652807</v>
      </c>
      <c r="O886" s="724">
        <f t="shared" si="84"/>
        <v>61149.219375313027</v>
      </c>
      <c r="P886" s="724">
        <f t="shared" si="85"/>
        <v>0</v>
      </c>
      <c r="Q886" s="674"/>
    </row>
    <row r="887" spans="2:17">
      <c r="B887" s="330"/>
      <c r="C887" s="720">
        <f>IF(D875="","-",+C886+1)</f>
        <v>2019</v>
      </c>
      <c r="D887" s="1269">
        <f t="shared" si="86"/>
        <v>3940188.209090909</v>
      </c>
      <c r="E887" s="726">
        <f t="shared" si="87"/>
        <v>101682.27636363637</v>
      </c>
      <c r="F887" s="726">
        <f t="shared" si="80"/>
        <v>3838505.9327272726</v>
      </c>
      <c r="G887" s="673">
        <f t="shared" si="81"/>
        <v>3889347.0709090908</v>
      </c>
      <c r="H887" s="721">
        <f>+J876*G887+E887</f>
        <v>698356.88324762706</v>
      </c>
      <c r="I887" s="727">
        <f>+J877*G887+E887</f>
        <v>698356.88324762706</v>
      </c>
      <c r="J887" s="724">
        <f t="shared" si="82"/>
        <v>0</v>
      </c>
      <c r="K887" s="724"/>
      <c r="L887" s="1452">
        <v>685825</v>
      </c>
      <c r="M887" s="724">
        <f t="shared" si="83"/>
        <v>12531.883247627062</v>
      </c>
      <c r="N887" s="1452">
        <v>685825</v>
      </c>
      <c r="O887" s="724">
        <f t="shared" si="84"/>
        <v>12531.883247627062</v>
      </c>
      <c r="P887" s="724">
        <f t="shared" si="85"/>
        <v>0</v>
      </c>
      <c r="Q887" s="674"/>
    </row>
    <row r="888" spans="2:17">
      <c r="B888" s="330"/>
      <c r="C888" s="720">
        <f>IF(D875="","-",+C887+1)</f>
        <v>2020</v>
      </c>
      <c r="D888" s="673">
        <f t="shared" si="86"/>
        <v>3838505.9327272726</v>
      </c>
      <c r="E888" s="726">
        <f t="shared" si="87"/>
        <v>101682.27636363637</v>
      </c>
      <c r="F888" s="726">
        <f t="shared" si="80"/>
        <v>3736823.6563636363</v>
      </c>
      <c r="G888" s="673">
        <f t="shared" si="81"/>
        <v>3787664.7945454544</v>
      </c>
      <c r="H888" s="721">
        <f>+J876*G888+E888</f>
        <v>682757.54711994098</v>
      </c>
      <c r="I888" s="727">
        <f>+J877*G888+E888</f>
        <v>682757.54711994098</v>
      </c>
      <c r="J888" s="724">
        <f t="shared" si="82"/>
        <v>0</v>
      </c>
      <c r="K888" s="724"/>
      <c r="L888" s="728">
        <v>660577.00957542553</v>
      </c>
      <c r="M888" s="724">
        <f t="shared" si="83"/>
        <v>22180.53754451545</v>
      </c>
      <c r="N888" s="1548">
        <v>660577.00957542553</v>
      </c>
      <c r="O888" s="724">
        <f t="shared" si="84"/>
        <v>22180.53754451545</v>
      </c>
      <c r="P888" s="724">
        <f t="shared" si="85"/>
        <v>0</v>
      </c>
      <c r="Q888" s="674"/>
    </row>
    <row r="889" spans="2:17">
      <c r="B889" s="330"/>
      <c r="C889" s="720">
        <f>IF(D875="","-",+C888+1)</f>
        <v>2021</v>
      </c>
      <c r="D889" s="673">
        <f t="shared" si="86"/>
        <v>3736823.6563636363</v>
      </c>
      <c r="E889" s="726">
        <f t="shared" si="87"/>
        <v>101682.27636363637</v>
      </c>
      <c r="F889" s="726">
        <f t="shared" si="80"/>
        <v>3635141.38</v>
      </c>
      <c r="G889" s="673">
        <f t="shared" si="81"/>
        <v>3685982.5181818181</v>
      </c>
      <c r="H889" s="721">
        <f>+J876*G889+E889</f>
        <v>667158.21099225502</v>
      </c>
      <c r="I889" s="727">
        <f>+J877*G889+E889</f>
        <v>667158.21099225502</v>
      </c>
      <c r="J889" s="724">
        <f t="shared" si="82"/>
        <v>0</v>
      </c>
      <c r="K889" s="724"/>
      <c r="L889" s="728">
        <v>630068.6992672648</v>
      </c>
      <c r="M889" s="724">
        <f t="shared" si="83"/>
        <v>37089.51172499021</v>
      </c>
      <c r="N889" s="1548">
        <v>630068.6992672648</v>
      </c>
      <c r="O889" s="724">
        <f t="shared" si="84"/>
        <v>37089.51172499021</v>
      </c>
      <c r="P889" s="724">
        <f t="shared" si="85"/>
        <v>0</v>
      </c>
      <c r="Q889" s="674"/>
    </row>
    <row r="890" spans="2:17">
      <c r="B890" s="330"/>
      <c r="C890" s="1291">
        <f>IF(D875="","-",+C889+1)</f>
        <v>2022</v>
      </c>
      <c r="D890" s="673">
        <f t="shared" si="86"/>
        <v>3635141.38</v>
      </c>
      <c r="E890" s="726">
        <f t="shared" si="87"/>
        <v>101682.27636363637</v>
      </c>
      <c r="F890" s="726">
        <f t="shared" si="80"/>
        <v>3533459.1036363635</v>
      </c>
      <c r="G890" s="673">
        <f t="shared" si="81"/>
        <v>3584300.2418181817</v>
      </c>
      <c r="H890" s="721">
        <f>+J876*G890+E890</f>
        <v>651558.87486456893</v>
      </c>
      <c r="I890" s="727">
        <f>+J877*G890+E890</f>
        <v>651558.87486456893</v>
      </c>
      <c r="J890" s="724">
        <f t="shared" si="82"/>
        <v>0</v>
      </c>
      <c r="K890" s="724"/>
      <c r="L890" s="728">
        <v>0</v>
      </c>
      <c r="M890" s="724">
        <f t="shared" si="83"/>
        <v>0</v>
      </c>
      <c r="N890" s="728">
        <v>0</v>
      </c>
      <c r="O890" s="724">
        <f t="shared" si="84"/>
        <v>0</v>
      </c>
      <c r="P890" s="724">
        <f t="shared" si="85"/>
        <v>0</v>
      </c>
      <c r="Q890" s="674"/>
    </row>
    <row r="891" spans="2:17">
      <c r="B891" s="330"/>
      <c r="C891" s="720">
        <f>IF(D875="","-",+C890+1)</f>
        <v>2023</v>
      </c>
      <c r="D891" s="673">
        <f t="shared" si="86"/>
        <v>3533459.1036363635</v>
      </c>
      <c r="E891" s="726">
        <f t="shared" si="87"/>
        <v>101682.27636363637</v>
      </c>
      <c r="F891" s="726">
        <f t="shared" si="80"/>
        <v>3431776.8272727272</v>
      </c>
      <c r="G891" s="673">
        <f t="shared" si="81"/>
        <v>3482617.9654545453</v>
      </c>
      <c r="H891" s="721">
        <f>+J876*G891+E891</f>
        <v>635959.53873688297</v>
      </c>
      <c r="I891" s="727">
        <f>+J877*G891+E891</f>
        <v>635959.53873688297</v>
      </c>
      <c r="J891" s="724">
        <f t="shared" si="82"/>
        <v>0</v>
      </c>
      <c r="K891" s="724"/>
      <c r="L891" s="728"/>
      <c r="M891" s="724">
        <f t="shared" si="83"/>
        <v>0</v>
      </c>
      <c r="N891" s="728"/>
      <c r="O891" s="724">
        <f t="shared" si="84"/>
        <v>0</v>
      </c>
      <c r="P891" s="724">
        <f t="shared" si="85"/>
        <v>0</v>
      </c>
      <c r="Q891" s="674"/>
    </row>
    <row r="892" spans="2:17">
      <c r="B892" s="330"/>
      <c r="C892" s="720">
        <f>IF(D875="","-",+C891+1)</f>
        <v>2024</v>
      </c>
      <c r="D892" s="673">
        <f t="shared" si="86"/>
        <v>3431776.8272727272</v>
      </c>
      <c r="E892" s="726">
        <f t="shared" si="87"/>
        <v>101682.27636363637</v>
      </c>
      <c r="F892" s="726">
        <f t="shared" si="80"/>
        <v>3330094.5509090908</v>
      </c>
      <c r="G892" s="673">
        <f t="shared" si="81"/>
        <v>3380935.689090909</v>
      </c>
      <c r="H892" s="721">
        <f>+J876*G892+E892</f>
        <v>620360.20260919689</v>
      </c>
      <c r="I892" s="727">
        <f>+J877*G892+E892</f>
        <v>620360.20260919689</v>
      </c>
      <c r="J892" s="724">
        <f t="shared" si="82"/>
        <v>0</v>
      </c>
      <c r="K892" s="724"/>
      <c r="L892" s="728"/>
      <c r="M892" s="724">
        <f t="shared" si="83"/>
        <v>0</v>
      </c>
      <c r="N892" s="728"/>
      <c r="O892" s="724">
        <f t="shared" si="84"/>
        <v>0</v>
      </c>
      <c r="P892" s="724">
        <f t="shared" si="85"/>
        <v>0</v>
      </c>
      <c r="Q892" s="674"/>
    </row>
    <row r="893" spans="2:17">
      <c r="B893" s="330"/>
      <c r="C893" s="720">
        <f>IF(D875="","-",+C892+1)</f>
        <v>2025</v>
      </c>
      <c r="D893" s="673">
        <f t="shared" si="86"/>
        <v>3330094.5509090908</v>
      </c>
      <c r="E893" s="726">
        <f t="shared" si="87"/>
        <v>101682.27636363637</v>
      </c>
      <c r="F893" s="726">
        <f t="shared" si="80"/>
        <v>3228412.2745454544</v>
      </c>
      <c r="G893" s="673">
        <f t="shared" si="81"/>
        <v>3279253.4127272726</v>
      </c>
      <c r="H893" s="721">
        <f>+J876*G893+E893</f>
        <v>604760.86648151092</v>
      </c>
      <c r="I893" s="727">
        <f>+J877*G893+E893</f>
        <v>604760.86648151092</v>
      </c>
      <c r="J893" s="724">
        <f t="shared" si="82"/>
        <v>0</v>
      </c>
      <c r="K893" s="724"/>
      <c r="L893" s="728"/>
      <c r="M893" s="724">
        <f t="shared" si="83"/>
        <v>0</v>
      </c>
      <c r="N893" s="728"/>
      <c r="O893" s="724">
        <f t="shared" si="84"/>
        <v>0</v>
      </c>
      <c r="P893" s="724">
        <f t="shared" si="85"/>
        <v>0</v>
      </c>
      <c r="Q893" s="674"/>
    </row>
    <row r="894" spans="2:17">
      <c r="B894" s="330"/>
      <c r="C894" s="720">
        <f>IF(D875="","-",+C893+1)</f>
        <v>2026</v>
      </c>
      <c r="D894" s="673">
        <f t="shared" si="86"/>
        <v>3228412.2745454544</v>
      </c>
      <c r="E894" s="726">
        <f t="shared" si="87"/>
        <v>101682.27636363637</v>
      </c>
      <c r="F894" s="726">
        <f t="shared" si="80"/>
        <v>3126729.9981818181</v>
      </c>
      <c r="G894" s="673">
        <f t="shared" si="81"/>
        <v>3177571.1363636362</v>
      </c>
      <c r="H894" s="721">
        <f>+J876*G894+E894</f>
        <v>589161.53035382484</v>
      </c>
      <c r="I894" s="727">
        <f>+J877*G894+E894</f>
        <v>589161.53035382484</v>
      </c>
      <c r="J894" s="724">
        <f t="shared" si="82"/>
        <v>0</v>
      </c>
      <c r="K894" s="724"/>
      <c r="L894" s="728"/>
      <c r="M894" s="724">
        <f t="shared" si="83"/>
        <v>0</v>
      </c>
      <c r="N894" s="728"/>
      <c r="O894" s="724">
        <f t="shared" si="84"/>
        <v>0</v>
      </c>
      <c r="P894" s="724">
        <f t="shared" si="85"/>
        <v>0</v>
      </c>
      <c r="Q894" s="674"/>
    </row>
    <row r="895" spans="2:17">
      <c r="B895" s="330"/>
      <c r="C895" s="720">
        <f>IF(D875="","-",+C894+1)</f>
        <v>2027</v>
      </c>
      <c r="D895" s="673">
        <f t="shared" si="86"/>
        <v>3126729.9981818181</v>
      </c>
      <c r="E895" s="726">
        <f t="shared" si="87"/>
        <v>101682.27636363637</v>
      </c>
      <c r="F895" s="726">
        <f t="shared" si="80"/>
        <v>3025047.7218181817</v>
      </c>
      <c r="G895" s="673">
        <f t="shared" si="81"/>
        <v>3075888.86</v>
      </c>
      <c r="H895" s="721">
        <f>+J876*G895+E895</f>
        <v>573562.19422613876</v>
      </c>
      <c r="I895" s="727">
        <f>+J877*G895+E895</f>
        <v>573562.19422613876</v>
      </c>
      <c r="J895" s="724">
        <f t="shared" si="82"/>
        <v>0</v>
      </c>
      <c r="K895" s="724"/>
      <c r="L895" s="728"/>
      <c r="M895" s="724">
        <f t="shared" si="83"/>
        <v>0</v>
      </c>
      <c r="N895" s="728"/>
      <c r="O895" s="724">
        <f t="shared" si="84"/>
        <v>0</v>
      </c>
      <c r="P895" s="724">
        <f t="shared" si="85"/>
        <v>0</v>
      </c>
      <c r="Q895" s="674"/>
    </row>
    <row r="896" spans="2:17">
      <c r="B896" s="330"/>
      <c r="C896" s="720">
        <f>IF(D875="","-",+C895+1)</f>
        <v>2028</v>
      </c>
      <c r="D896" s="673">
        <f t="shared" si="86"/>
        <v>3025047.7218181817</v>
      </c>
      <c r="E896" s="726">
        <f t="shared" si="87"/>
        <v>101682.27636363637</v>
      </c>
      <c r="F896" s="726">
        <f t="shared" si="80"/>
        <v>2923365.4454545453</v>
      </c>
      <c r="G896" s="673">
        <f t="shared" si="81"/>
        <v>2974206.5836363635</v>
      </c>
      <c r="H896" s="721">
        <f>+J876*G896+E896</f>
        <v>557962.85809845268</v>
      </c>
      <c r="I896" s="727">
        <f>+J877*G896+E896</f>
        <v>557962.85809845268</v>
      </c>
      <c r="J896" s="724">
        <f t="shared" si="82"/>
        <v>0</v>
      </c>
      <c r="K896" s="724"/>
      <c r="L896" s="728"/>
      <c r="M896" s="724">
        <f t="shared" si="83"/>
        <v>0</v>
      </c>
      <c r="N896" s="728"/>
      <c r="O896" s="724">
        <f t="shared" si="84"/>
        <v>0</v>
      </c>
      <c r="P896" s="724">
        <f t="shared" si="85"/>
        <v>0</v>
      </c>
      <c r="Q896" s="674"/>
    </row>
    <row r="897" spans="2:17">
      <c r="B897" s="330"/>
      <c r="C897" s="720">
        <f>IF(D875="","-",+C896+1)</f>
        <v>2029</v>
      </c>
      <c r="D897" s="673">
        <f t="shared" si="86"/>
        <v>2923365.4454545453</v>
      </c>
      <c r="E897" s="726">
        <f t="shared" si="87"/>
        <v>101682.27636363637</v>
      </c>
      <c r="F897" s="726">
        <f t="shared" si="80"/>
        <v>2821683.169090909</v>
      </c>
      <c r="G897" s="673">
        <f t="shared" si="81"/>
        <v>2872524.3072727271</v>
      </c>
      <c r="H897" s="721">
        <f>+J876*G897+E897</f>
        <v>542363.52197076671</v>
      </c>
      <c r="I897" s="727">
        <f>+J877*G897+E897</f>
        <v>542363.52197076671</v>
      </c>
      <c r="J897" s="724">
        <f t="shared" si="82"/>
        <v>0</v>
      </c>
      <c r="K897" s="724"/>
      <c r="L897" s="728"/>
      <c r="M897" s="724">
        <f t="shared" si="83"/>
        <v>0</v>
      </c>
      <c r="N897" s="728"/>
      <c r="O897" s="724">
        <f t="shared" si="84"/>
        <v>0</v>
      </c>
      <c r="P897" s="724">
        <f t="shared" si="85"/>
        <v>0</v>
      </c>
      <c r="Q897" s="674"/>
    </row>
    <row r="898" spans="2:17">
      <c r="B898" s="330"/>
      <c r="C898" s="720">
        <f>IF(D875="","-",+C897+1)</f>
        <v>2030</v>
      </c>
      <c r="D898" s="673">
        <f t="shared" si="86"/>
        <v>2821683.169090909</v>
      </c>
      <c r="E898" s="726">
        <f t="shared" si="87"/>
        <v>101682.27636363637</v>
      </c>
      <c r="F898" s="726">
        <f t="shared" si="80"/>
        <v>2720000.8927272726</v>
      </c>
      <c r="G898" s="673">
        <f t="shared" si="81"/>
        <v>2770842.0309090908</v>
      </c>
      <c r="H898" s="721">
        <f>+J876*G898+E898</f>
        <v>526764.18584308075</v>
      </c>
      <c r="I898" s="727">
        <f>+J877*G898+E898</f>
        <v>526764.18584308075</v>
      </c>
      <c r="J898" s="724">
        <f t="shared" si="82"/>
        <v>0</v>
      </c>
      <c r="K898" s="724"/>
      <c r="L898" s="728"/>
      <c r="M898" s="724">
        <f t="shared" si="83"/>
        <v>0</v>
      </c>
      <c r="N898" s="728"/>
      <c r="O898" s="724">
        <f t="shared" si="84"/>
        <v>0</v>
      </c>
      <c r="P898" s="724">
        <f t="shared" si="85"/>
        <v>0</v>
      </c>
      <c r="Q898" s="674"/>
    </row>
    <row r="899" spans="2:17">
      <c r="B899" s="330"/>
      <c r="C899" s="720">
        <f>IF(D875="","-",+C898+1)</f>
        <v>2031</v>
      </c>
      <c r="D899" s="673">
        <f t="shared" si="86"/>
        <v>2720000.8927272726</v>
      </c>
      <c r="E899" s="726">
        <f t="shared" si="87"/>
        <v>101682.27636363637</v>
      </c>
      <c r="F899" s="726">
        <f t="shared" si="80"/>
        <v>2618318.6163636362</v>
      </c>
      <c r="G899" s="673">
        <f t="shared" si="81"/>
        <v>2669159.7545454544</v>
      </c>
      <c r="H899" s="721">
        <f>+J876*G899+E899</f>
        <v>511164.84971539467</v>
      </c>
      <c r="I899" s="727">
        <f>+J877*G899+E899</f>
        <v>511164.84971539467</v>
      </c>
      <c r="J899" s="724">
        <f t="shared" si="82"/>
        <v>0</v>
      </c>
      <c r="K899" s="724"/>
      <c r="L899" s="728"/>
      <c r="M899" s="724">
        <f t="shared" si="83"/>
        <v>0</v>
      </c>
      <c r="N899" s="728"/>
      <c r="O899" s="724">
        <f t="shared" si="84"/>
        <v>0</v>
      </c>
      <c r="P899" s="724">
        <f t="shared" si="85"/>
        <v>0</v>
      </c>
      <c r="Q899" s="674"/>
    </row>
    <row r="900" spans="2:17">
      <c r="B900" s="330"/>
      <c r="C900" s="720">
        <f>IF(D875="","-",+C899+1)</f>
        <v>2032</v>
      </c>
      <c r="D900" s="673">
        <f t="shared" si="86"/>
        <v>2618318.6163636362</v>
      </c>
      <c r="E900" s="726">
        <f t="shared" si="87"/>
        <v>101682.27636363637</v>
      </c>
      <c r="F900" s="726">
        <f t="shared" si="80"/>
        <v>2516636.34</v>
      </c>
      <c r="G900" s="673">
        <f t="shared" si="81"/>
        <v>2567477.478181818</v>
      </c>
      <c r="H900" s="721">
        <f>+J876*G900+E900</f>
        <v>495565.51358770864</v>
      </c>
      <c r="I900" s="727">
        <f>+J877*G900+E900</f>
        <v>495565.51358770864</v>
      </c>
      <c r="J900" s="724">
        <f t="shared" si="82"/>
        <v>0</v>
      </c>
      <c r="K900" s="724"/>
      <c r="L900" s="728"/>
      <c r="M900" s="724">
        <f t="shared" si="83"/>
        <v>0</v>
      </c>
      <c r="N900" s="728"/>
      <c r="O900" s="724">
        <f t="shared" si="84"/>
        <v>0</v>
      </c>
      <c r="P900" s="724">
        <f t="shared" si="85"/>
        <v>0</v>
      </c>
      <c r="Q900" s="674"/>
    </row>
    <row r="901" spans="2:17">
      <c r="B901" s="330"/>
      <c r="C901" s="720">
        <f>IF(D875="","-",+C900+1)</f>
        <v>2033</v>
      </c>
      <c r="D901" s="673">
        <f t="shared" si="86"/>
        <v>2516636.34</v>
      </c>
      <c r="E901" s="726">
        <f t="shared" si="87"/>
        <v>101682.27636363637</v>
      </c>
      <c r="F901" s="726">
        <f t="shared" si="80"/>
        <v>2414954.0636363635</v>
      </c>
      <c r="G901" s="673">
        <f t="shared" si="81"/>
        <v>2465795.2018181817</v>
      </c>
      <c r="H901" s="721">
        <f>+J876*G901+E901</f>
        <v>479966.17746002262</v>
      </c>
      <c r="I901" s="727">
        <f>+J877*G901+E901</f>
        <v>479966.17746002262</v>
      </c>
      <c r="J901" s="724">
        <f t="shared" si="82"/>
        <v>0</v>
      </c>
      <c r="K901" s="724"/>
      <c r="L901" s="728"/>
      <c r="M901" s="724">
        <f t="shared" si="83"/>
        <v>0</v>
      </c>
      <c r="N901" s="728"/>
      <c r="O901" s="724">
        <f t="shared" si="84"/>
        <v>0</v>
      </c>
      <c r="P901" s="724">
        <f t="shared" si="85"/>
        <v>0</v>
      </c>
      <c r="Q901" s="674"/>
    </row>
    <row r="902" spans="2:17">
      <c r="B902" s="330"/>
      <c r="C902" s="720">
        <f>IF(D875="","-",+C901+1)</f>
        <v>2034</v>
      </c>
      <c r="D902" s="673">
        <f t="shared" si="86"/>
        <v>2414954.0636363635</v>
      </c>
      <c r="E902" s="726">
        <f t="shared" si="87"/>
        <v>101682.27636363637</v>
      </c>
      <c r="F902" s="726">
        <f t="shared" si="80"/>
        <v>2313271.7872727271</v>
      </c>
      <c r="G902" s="673">
        <f t="shared" si="81"/>
        <v>2364112.9254545453</v>
      </c>
      <c r="H902" s="721">
        <f>+J876*G902+E902</f>
        <v>464366.8413323366</v>
      </c>
      <c r="I902" s="727">
        <f>+J877*G902+E902</f>
        <v>464366.8413323366</v>
      </c>
      <c r="J902" s="724">
        <f t="shared" si="82"/>
        <v>0</v>
      </c>
      <c r="K902" s="724"/>
      <c r="L902" s="728"/>
      <c r="M902" s="724">
        <f t="shared" si="83"/>
        <v>0</v>
      </c>
      <c r="N902" s="728"/>
      <c r="O902" s="724">
        <f t="shared" si="84"/>
        <v>0</v>
      </c>
      <c r="P902" s="724">
        <f t="shared" si="85"/>
        <v>0</v>
      </c>
      <c r="Q902" s="674"/>
    </row>
    <row r="903" spans="2:17">
      <c r="B903" s="330"/>
      <c r="C903" s="720">
        <f>IF(D875="","-",+C902+1)</f>
        <v>2035</v>
      </c>
      <c r="D903" s="673">
        <f t="shared" si="86"/>
        <v>2313271.7872727271</v>
      </c>
      <c r="E903" s="726">
        <f t="shared" si="87"/>
        <v>101682.27636363637</v>
      </c>
      <c r="F903" s="726">
        <f t="shared" si="80"/>
        <v>2211589.5109090907</v>
      </c>
      <c r="G903" s="673">
        <f t="shared" si="81"/>
        <v>2262430.6490909089</v>
      </c>
      <c r="H903" s="721">
        <f>+J876*G903+E903</f>
        <v>448767.50520465052</v>
      </c>
      <c r="I903" s="727">
        <f>+J877*G903+E903</f>
        <v>448767.50520465052</v>
      </c>
      <c r="J903" s="724">
        <f t="shared" si="82"/>
        <v>0</v>
      </c>
      <c r="K903" s="724"/>
      <c r="L903" s="728"/>
      <c r="M903" s="724">
        <f t="shared" si="83"/>
        <v>0</v>
      </c>
      <c r="N903" s="728"/>
      <c r="O903" s="724">
        <f t="shared" si="84"/>
        <v>0</v>
      </c>
      <c r="P903" s="724">
        <f t="shared" si="85"/>
        <v>0</v>
      </c>
      <c r="Q903" s="674"/>
    </row>
    <row r="904" spans="2:17">
      <c r="B904" s="330"/>
      <c r="C904" s="720">
        <f>IF(D875="","-",+C903+1)</f>
        <v>2036</v>
      </c>
      <c r="D904" s="673">
        <f t="shared" si="86"/>
        <v>2211589.5109090907</v>
      </c>
      <c r="E904" s="726">
        <f t="shared" si="87"/>
        <v>101682.27636363637</v>
      </c>
      <c r="F904" s="726">
        <f t="shared" si="80"/>
        <v>2109907.2345454544</v>
      </c>
      <c r="G904" s="673">
        <f t="shared" si="81"/>
        <v>2160748.3727272726</v>
      </c>
      <c r="H904" s="721">
        <f>+J876*G904+E904</f>
        <v>433168.16907696449</v>
      </c>
      <c r="I904" s="727">
        <f>+J877*G904+E904</f>
        <v>433168.16907696449</v>
      </c>
      <c r="J904" s="724">
        <f t="shared" si="82"/>
        <v>0</v>
      </c>
      <c r="K904" s="724"/>
      <c r="L904" s="728"/>
      <c r="M904" s="724">
        <f t="shared" si="83"/>
        <v>0</v>
      </c>
      <c r="N904" s="728"/>
      <c r="O904" s="724">
        <f t="shared" si="84"/>
        <v>0</v>
      </c>
      <c r="P904" s="724">
        <f t="shared" si="85"/>
        <v>0</v>
      </c>
      <c r="Q904" s="674"/>
    </row>
    <row r="905" spans="2:17">
      <c r="B905" s="330"/>
      <c r="C905" s="720">
        <f>IF(D875="","-",+C904+1)</f>
        <v>2037</v>
      </c>
      <c r="D905" s="673">
        <f t="shared" si="86"/>
        <v>2109907.2345454544</v>
      </c>
      <c r="E905" s="726">
        <f t="shared" si="87"/>
        <v>101682.27636363637</v>
      </c>
      <c r="F905" s="726">
        <f t="shared" si="80"/>
        <v>2008224.958181818</v>
      </c>
      <c r="G905" s="673">
        <f t="shared" si="81"/>
        <v>2059066.0963636362</v>
      </c>
      <c r="H905" s="721">
        <f>+J876*G905+E905</f>
        <v>417568.83294927847</v>
      </c>
      <c r="I905" s="727">
        <f>+J877*G905+E905</f>
        <v>417568.83294927847</v>
      </c>
      <c r="J905" s="724">
        <f t="shared" si="82"/>
        <v>0</v>
      </c>
      <c r="K905" s="724"/>
      <c r="L905" s="728"/>
      <c r="M905" s="724">
        <f t="shared" si="83"/>
        <v>0</v>
      </c>
      <c r="N905" s="728"/>
      <c r="O905" s="724">
        <f t="shared" si="84"/>
        <v>0</v>
      </c>
      <c r="P905" s="724">
        <f t="shared" si="85"/>
        <v>0</v>
      </c>
      <c r="Q905" s="674"/>
    </row>
    <row r="906" spans="2:17">
      <c r="B906" s="330"/>
      <c r="C906" s="720">
        <f>IF(D875="","-",+C905+1)</f>
        <v>2038</v>
      </c>
      <c r="D906" s="673">
        <f t="shared" si="86"/>
        <v>2008224.958181818</v>
      </c>
      <c r="E906" s="726">
        <f t="shared" si="87"/>
        <v>101682.27636363637</v>
      </c>
      <c r="F906" s="726">
        <f t="shared" si="80"/>
        <v>1906542.6818181816</v>
      </c>
      <c r="G906" s="673">
        <f t="shared" si="81"/>
        <v>1957383.8199999998</v>
      </c>
      <c r="H906" s="721">
        <f>+J876*G906+E906</f>
        <v>401969.49682159245</v>
      </c>
      <c r="I906" s="727">
        <f>+J877*G906+E906</f>
        <v>401969.49682159245</v>
      </c>
      <c r="J906" s="724">
        <f t="shared" si="82"/>
        <v>0</v>
      </c>
      <c r="K906" s="724"/>
      <c r="L906" s="728"/>
      <c r="M906" s="724">
        <f t="shared" si="83"/>
        <v>0</v>
      </c>
      <c r="N906" s="728"/>
      <c r="O906" s="724">
        <f t="shared" si="84"/>
        <v>0</v>
      </c>
      <c r="P906" s="724">
        <f t="shared" si="85"/>
        <v>0</v>
      </c>
      <c r="Q906" s="674"/>
    </row>
    <row r="907" spans="2:17">
      <c r="B907" s="330"/>
      <c r="C907" s="720">
        <f>IF(D875="","-",+C906+1)</f>
        <v>2039</v>
      </c>
      <c r="D907" s="673">
        <f t="shared" si="86"/>
        <v>1906542.6818181816</v>
      </c>
      <c r="E907" s="726">
        <f t="shared" si="87"/>
        <v>101682.27636363637</v>
      </c>
      <c r="F907" s="726">
        <f t="shared" si="80"/>
        <v>1804860.4054545453</v>
      </c>
      <c r="G907" s="673">
        <f t="shared" si="81"/>
        <v>1855701.5436363635</v>
      </c>
      <c r="H907" s="721">
        <f>+J876*G907+E907</f>
        <v>386370.16069390642</v>
      </c>
      <c r="I907" s="727">
        <f>+J877*G907+E907</f>
        <v>386370.16069390642</v>
      </c>
      <c r="J907" s="724">
        <f t="shared" si="82"/>
        <v>0</v>
      </c>
      <c r="K907" s="724"/>
      <c r="L907" s="728"/>
      <c r="M907" s="724">
        <f t="shared" si="83"/>
        <v>0</v>
      </c>
      <c r="N907" s="728"/>
      <c r="O907" s="724">
        <f t="shared" si="84"/>
        <v>0</v>
      </c>
      <c r="P907" s="724">
        <f t="shared" si="85"/>
        <v>0</v>
      </c>
      <c r="Q907" s="674"/>
    </row>
    <row r="908" spans="2:17">
      <c r="B908" s="330"/>
      <c r="C908" s="720">
        <f>IF(D875="","-",+C907+1)</f>
        <v>2040</v>
      </c>
      <c r="D908" s="673">
        <f t="shared" si="86"/>
        <v>1804860.4054545453</v>
      </c>
      <c r="E908" s="726">
        <f t="shared" si="87"/>
        <v>101682.27636363637</v>
      </c>
      <c r="F908" s="726">
        <f t="shared" si="80"/>
        <v>1703178.1290909089</v>
      </c>
      <c r="G908" s="673">
        <f t="shared" si="81"/>
        <v>1754019.2672727271</v>
      </c>
      <c r="H908" s="721">
        <f>+J876*G908+E908</f>
        <v>370770.8245662204</v>
      </c>
      <c r="I908" s="727">
        <f>+J877*G908+E908</f>
        <v>370770.8245662204</v>
      </c>
      <c r="J908" s="724">
        <f t="shared" si="82"/>
        <v>0</v>
      </c>
      <c r="K908" s="724"/>
      <c r="L908" s="728"/>
      <c r="M908" s="724">
        <f t="shared" si="83"/>
        <v>0</v>
      </c>
      <c r="N908" s="728"/>
      <c r="O908" s="724">
        <f t="shared" si="84"/>
        <v>0</v>
      </c>
      <c r="P908" s="724">
        <f t="shared" si="85"/>
        <v>0</v>
      </c>
      <c r="Q908" s="674"/>
    </row>
    <row r="909" spans="2:17">
      <c r="B909" s="330"/>
      <c r="C909" s="720">
        <f>IF(D875="","-",+C908+1)</f>
        <v>2041</v>
      </c>
      <c r="D909" s="673">
        <f t="shared" si="86"/>
        <v>1703178.1290909089</v>
      </c>
      <c r="E909" s="726">
        <f t="shared" si="87"/>
        <v>101682.27636363637</v>
      </c>
      <c r="F909" s="726">
        <f t="shared" si="80"/>
        <v>1601495.8527272725</v>
      </c>
      <c r="G909" s="673">
        <f t="shared" si="81"/>
        <v>1652336.9909090907</v>
      </c>
      <c r="H909" s="721">
        <f>+J876*G909+E909</f>
        <v>355171.48843853432</v>
      </c>
      <c r="I909" s="727">
        <f>+J877*G909+E909</f>
        <v>355171.48843853432</v>
      </c>
      <c r="J909" s="724">
        <f t="shared" si="82"/>
        <v>0</v>
      </c>
      <c r="K909" s="724"/>
      <c r="L909" s="728"/>
      <c r="M909" s="724">
        <f t="shared" si="83"/>
        <v>0</v>
      </c>
      <c r="N909" s="728"/>
      <c r="O909" s="724">
        <f t="shared" si="84"/>
        <v>0</v>
      </c>
      <c r="P909" s="724">
        <f t="shared" si="85"/>
        <v>0</v>
      </c>
      <c r="Q909" s="674"/>
    </row>
    <row r="910" spans="2:17">
      <c r="B910" s="330"/>
      <c r="C910" s="720">
        <f>IF(D875="","-",+C909+1)</f>
        <v>2042</v>
      </c>
      <c r="D910" s="673">
        <f t="shared" si="86"/>
        <v>1601495.8527272725</v>
      </c>
      <c r="E910" s="726">
        <f t="shared" si="87"/>
        <v>101682.27636363637</v>
      </c>
      <c r="F910" s="726">
        <f t="shared" si="80"/>
        <v>1499813.5763636362</v>
      </c>
      <c r="G910" s="673">
        <f t="shared" si="81"/>
        <v>1550654.7145454544</v>
      </c>
      <c r="H910" s="721">
        <f>+J876*G910+E910</f>
        <v>339572.15231084835</v>
      </c>
      <c r="I910" s="727">
        <f>+J877*G910+E910</f>
        <v>339572.15231084835</v>
      </c>
      <c r="J910" s="724">
        <f t="shared" si="82"/>
        <v>0</v>
      </c>
      <c r="K910" s="724"/>
      <c r="L910" s="728"/>
      <c r="M910" s="724">
        <f t="shared" si="83"/>
        <v>0</v>
      </c>
      <c r="N910" s="728"/>
      <c r="O910" s="724">
        <f t="shared" si="84"/>
        <v>0</v>
      </c>
      <c r="P910" s="724">
        <f t="shared" si="85"/>
        <v>0</v>
      </c>
      <c r="Q910" s="674"/>
    </row>
    <row r="911" spans="2:17">
      <c r="B911" s="330"/>
      <c r="C911" s="720">
        <f>IF(D875="","-",+C910+1)</f>
        <v>2043</v>
      </c>
      <c r="D911" s="673">
        <f t="shared" si="86"/>
        <v>1499813.5763636362</v>
      </c>
      <c r="E911" s="726">
        <f t="shared" si="87"/>
        <v>101682.27636363637</v>
      </c>
      <c r="F911" s="726">
        <f t="shared" si="80"/>
        <v>1398131.2999999998</v>
      </c>
      <c r="G911" s="673">
        <f t="shared" si="81"/>
        <v>1448972.438181818</v>
      </c>
      <c r="H911" s="721">
        <f>+J876*G911+E911</f>
        <v>323972.81618316227</v>
      </c>
      <c r="I911" s="727">
        <f>+J877*G911+E911</f>
        <v>323972.81618316227</v>
      </c>
      <c r="J911" s="724">
        <f t="shared" si="82"/>
        <v>0</v>
      </c>
      <c r="K911" s="724"/>
      <c r="L911" s="728"/>
      <c r="M911" s="724">
        <f t="shared" si="83"/>
        <v>0</v>
      </c>
      <c r="N911" s="728"/>
      <c r="O911" s="724">
        <f t="shared" si="84"/>
        <v>0</v>
      </c>
      <c r="P911" s="724">
        <f t="shared" si="85"/>
        <v>0</v>
      </c>
      <c r="Q911" s="674"/>
    </row>
    <row r="912" spans="2:17">
      <c r="B912" s="330"/>
      <c r="C912" s="720">
        <f>IF(D875="","-",+C911+1)</f>
        <v>2044</v>
      </c>
      <c r="D912" s="673">
        <f t="shared" si="86"/>
        <v>1398131.2999999998</v>
      </c>
      <c r="E912" s="726">
        <f t="shared" si="87"/>
        <v>101682.27636363637</v>
      </c>
      <c r="F912" s="726">
        <f t="shared" si="80"/>
        <v>1296449.0236363634</v>
      </c>
      <c r="G912" s="673">
        <f t="shared" si="81"/>
        <v>1347290.1618181816</v>
      </c>
      <c r="H912" s="721">
        <f>+J876*G912+E912</f>
        <v>308373.48005547625</v>
      </c>
      <c r="I912" s="727">
        <f>+J877*G912+E912</f>
        <v>308373.48005547625</v>
      </c>
      <c r="J912" s="724">
        <f t="shared" si="82"/>
        <v>0</v>
      </c>
      <c r="K912" s="724"/>
      <c r="L912" s="728"/>
      <c r="M912" s="724">
        <f t="shared" si="83"/>
        <v>0</v>
      </c>
      <c r="N912" s="728"/>
      <c r="O912" s="724">
        <f t="shared" si="84"/>
        <v>0</v>
      </c>
      <c r="P912" s="724">
        <f t="shared" si="85"/>
        <v>0</v>
      </c>
      <c r="Q912" s="674"/>
    </row>
    <row r="913" spans="2:17">
      <c r="B913" s="330"/>
      <c r="C913" s="720">
        <f>IF(D875="","-",+C912+1)</f>
        <v>2045</v>
      </c>
      <c r="D913" s="673">
        <f t="shared" si="86"/>
        <v>1296449.0236363634</v>
      </c>
      <c r="E913" s="726">
        <f t="shared" si="87"/>
        <v>101682.27636363637</v>
      </c>
      <c r="F913" s="726">
        <f t="shared" si="80"/>
        <v>1194766.7472727271</v>
      </c>
      <c r="G913" s="673">
        <f t="shared" si="81"/>
        <v>1245607.8854545453</v>
      </c>
      <c r="H913" s="721">
        <f>+J876*G913+E913</f>
        <v>292774.14392779022</v>
      </c>
      <c r="I913" s="727">
        <f>+J877*G913+E913</f>
        <v>292774.14392779022</v>
      </c>
      <c r="J913" s="724">
        <f t="shared" si="82"/>
        <v>0</v>
      </c>
      <c r="K913" s="724"/>
      <c r="L913" s="728"/>
      <c r="M913" s="724">
        <f t="shared" si="83"/>
        <v>0</v>
      </c>
      <c r="N913" s="728"/>
      <c r="O913" s="724">
        <f t="shared" si="84"/>
        <v>0</v>
      </c>
      <c r="P913" s="724">
        <f t="shared" si="85"/>
        <v>0</v>
      </c>
      <c r="Q913" s="674"/>
    </row>
    <row r="914" spans="2:17">
      <c r="B914" s="330"/>
      <c r="C914" s="720">
        <f>IF(D875="","-",+C913+1)</f>
        <v>2046</v>
      </c>
      <c r="D914" s="673">
        <f t="shared" si="86"/>
        <v>1194766.7472727271</v>
      </c>
      <c r="E914" s="726">
        <f t="shared" si="87"/>
        <v>101682.27636363637</v>
      </c>
      <c r="F914" s="726">
        <f t="shared" si="80"/>
        <v>1093084.4709090907</v>
      </c>
      <c r="G914" s="673">
        <f t="shared" si="81"/>
        <v>1143925.6090909089</v>
      </c>
      <c r="H914" s="721">
        <f>+J876*G914+E914</f>
        <v>277174.8078001042</v>
      </c>
      <c r="I914" s="727">
        <f>+J877*G914+E914</f>
        <v>277174.8078001042</v>
      </c>
      <c r="J914" s="724">
        <f t="shared" si="82"/>
        <v>0</v>
      </c>
      <c r="K914" s="724"/>
      <c r="L914" s="728"/>
      <c r="M914" s="724">
        <f t="shared" si="83"/>
        <v>0</v>
      </c>
      <c r="N914" s="728"/>
      <c r="O914" s="724">
        <f t="shared" si="84"/>
        <v>0</v>
      </c>
      <c r="P914" s="724">
        <f t="shared" si="85"/>
        <v>0</v>
      </c>
      <c r="Q914" s="674"/>
    </row>
    <row r="915" spans="2:17">
      <c r="B915" s="330"/>
      <c r="C915" s="720">
        <f>IF(D875="","-",+C914+1)</f>
        <v>2047</v>
      </c>
      <c r="D915" s="673">
        <f t="shared" si="86"/>
        <v>1093084.4709090907</v>
      </c>
      <c r="E915" s="726">
        <f t="shared" si="87"/>
        <v>101682.27636363637</v>
      </c>
      <c r="F915" s="726">
        <f t="shared" si="80"/>
        <v>991402.19454545435</v>
      </c>
      <c r="G915" s="673">
        <f t="shared" si="81"/>
        <v>1042243.3327272725</v>
      </c>
      <c r="H915" s="721">
        <f>+J876*G915+E915</f>
        <v>261575.47167241815</v>
      </c>
      <c r="I915" s="727">
        <f>+J877*G915+E915</f>
        <v>261575.47167241815</v>
      </c>
      <c r="J915" s="724">
        <f t="shared" si="82"/>
        <v>0</v>
      </c>
      <c r="K915" s="724"/>
      <c r="L915" s="728"/>
      <c r="M915" s="724">
        <f t="shared" si="83"/>
        <v>0</v>
      </c>
      <c r="N915" s="728"/>
      <c r="O915" s="724">
        <f t="shared" si="84"/>
        <v>0</v>
      </c>
      <c r="P915" s="724">
        <f t="shared" si="85"/>
        <v>0</v>
      </c>
      <c r="Q915" s="674"/>
    </row>
    <row r="916" spans="2:17">
      <c r="B916" s="330"/>
      <c r="C916" s="720">
        <f>IF(D875="","-",+C915+1)</f>
        <v>2048</v>
      </c>
      <c r="D916" s="673">
        <f t="shared" si="86"/>
        <v>991402.19454545435</v>
      </c>
      <c r="E916" s="726">
        <f t="shared" si="87"/>
        <v>101682.27636363637</v>
      </c>
      <c r="F916" s="726">
        <f t="shared" si="80"/>
        <v>889719.91818181798</v>
      </c>
      <c r="G916" s="673">
        <f t="shared" si="81"/>
        <v>940561.05636363616</v>
      </c>
      <c r="H916" s="721">
        <f>+J876*G916+E916</f>
        <v>245976.13554473213</v>
      </c>
      <c r="I916" s="727">
        <f>+J877*G916+E916</f>
        <v>245976.13554473213</v>
      </c>
      <c r="J916" s="724">
        <f t="shared" si="82"/>
        <v>0</v>
      </c>
      <c r="K916" s="724"/>
      <c r="L916" s="728"/>
      <c r="M916" s="724">
        <f t="shared" si="83"/>
        <v>0</v>
      </c>
      <c r="N916" s="728"/>
      <c r="O916" s="724">
        <f t="shared" si="84"/>
        <v>0</v>
      </c>
      <c r="P916" s="724">
        <f t="shared" si="85"/>
        <v>0</v>
      </c>
      <c r="Q916" s="674"/>
    </row>
    <row r="917" spans="2:17">
      <c r="B917" s="330"/>
      <c r="C917" s="720">
        <f>IF(D875="","-",+C916+1)</f>
        <v>2049</v>
      </c>
      <c r="D917" s="673">
        <f t="shared" si="86"/>
        <v>889719.91818181798</v>
      </c>
      <c r="E917" s="726">
        <f t="shared" si="87"/>
        <v>101682.27636363637</v>
      </c>
      <c r="F917" s="726">
        <f t="shared" si="80"/>
        <v>788037.64181818161</v>
      </c>
      <c r="G917" s="673">
        <f t="shared" si="81"/>
        <v>838878.7799999998</v>
      </c>
      <c r="H917" s="721">
        <f>+J876*G917+E917</f>
        <v>230376.79941704607</v>
      </c>
      <c r="I917" s="727">
        <f>+J877*G917+E917</f>
        <v>230376.79941704607</v>
      </c>
      <c r="J917" s="724">
        <f t="shared" si="82"/>
        <v>0</v>
      </c>
      <c r="K917" s="724"/>
      <c r="L917" s="728"/>
      <c r="M917" s="724">
        <f t="shared" si="83"/>
        <v>0</v>
      </c>
      <c r="N917" s="728"/>
      <c r="O917" s="724">
        <f t="shared" si="84"/>
        <v>0</v>
      </c>
      <c r="P917" s="724">
        <f t="shared" si="85"/>
        <v>0</v>
      </c>
      <c r="Q917" s="674"/>
    </row>
    <row r="918" spans="2:17">
      <c r="B918" s="330"/>
      <c r="C918" s="720">
        <f>IF(D875="","-",+C917+1)</f>
        <v>2050</v>
      </c>
      <c r="D918" s="673">
        <f t="shared" si="86"/>
        <v>788037.64181818161</v>
      </c>
      <c r="E918" s="726">
        <f t="shared" si="87"/>
        <v>101682.27636363637</v>
      </c>
      <c r="F918" s="726">
        <f t="shared" si="80"/>
        <v>686355.36545454524</v>
      </c>
      <c r="G918" s="673">
        <f t="shared" si="81"/>
        <v>737196.50363636343</v>
      </c>
      <c r="H918" s="721">
        <f>+J876*G918+E918</f>
        <v>214777.46328936005</v>
      </c>
      <c r="I918" s="727">
        <f>+J877*G918+E918</f>
        <v>214777.46328936005</v>
      </c>
      <c r="J918" s="724">
        <f t="shared" si="82"/>
        <v>0</v>
      </c>
      <c r="K918" s="724"/>
      <c r="L918" s="728"/>
      <c r="M918" s="724">
        <f t="shared" si="83"/>
        <v>0</v>
      </c>
      <c r="N918" s="728"/>
      <c r="O918" s="724">
        <f t="shared" si="84"/>
        <v>0</v>
      </c>
      <c r="P918" s="724">
        <f t="shared" si="85"/>
        <v>0</v>
      </c>
      <c r="Q918" s="674"/>
    </row>
    <row r="919" spans="2:17">
      <c r="B919" s="330"/>
      <c r="C919" s="720">
        <f>IF(D875="","-",+C918+1)</f>
        <v>2051</v>
      </c>
      <c r="D919" s="673">
        <f t="shared" si="86"/>
        <v>686355.36545454524</v>
      </c>
      <c r="E919" s="726">
        <f t="shared" si="87"/>
        <v>101682.27636363637</v>
      </c>
      <c r="F919" s="726">
        <f t="shared" si="80"/>
        <v>584673.08909090888</v>
      </c>
      <c r="G919" s="673">
        <f t="shared" si="81"/>
        <v>635514.22727272706</v>
      </c>
      <c r="H919" s="721">
        <f>+J876*G919+E919</f>
        <v>199178.12716167403</v>
      </c>
      <c r="I919" s="727">
        <f>+J877*G919+E919</f>
        <v>199178.12716167403</v>
      </c>
      <c r="J919" s="724">
        <f t="shared" si="82"/>
        <v>0</v>
      </c>
      <c r="K919" s="724"/>
      <c r="L919" s="728"/>
      <c r="M919" s="724">
        <f t="shared" si="83"/>
        <v>0</v>
      </c>
      <c r="N919" s="728"/>
      <c r="O919" s="724">
        <f t="shared" si="84"/>
        <v>0</v>
      </c>
      <c r="P919" s="724">
        <f t="shared" si="85"/>
        <v>0</v>
      </c>
      <c r="Q919" s="674"/>
    </row>
    <row r="920" spans="2:17">
      <c r="B920" s="330"/>
      <c r="C920" s="720">
        <f>IF(D875="","-",+C919+1)</f>
        <v>2052</v>
      </c>
      <c r="D920" s="673">
        <f t="shared" si="86"/>
        <v>584673.08909090888</v>
      </c>
      <c r="E920" s="726">
        <f t="shared" si="87"/>
        <v>101682.27636363637</v>
      </c>
      <c r="F920" s="726">
        <f t="shared" si="80"/>
        <v>482990.81272727251</v>
      </c>
      <c r="G920" s="673">
        <f t="shared" si="81"/>
        <v>533831.95090909069</v>
      </c>
      <c r="H920" s="721">
        <f>+J876*G920+E920</f>
        <v>183578.791033988</v>
      </c>
      <c r="I920" s="727">
        <f>+J877*G920+E920</f>
        <v>183578.791033988</v>
      </c>
      <c r="J920" s="724">
        <f t="shared" si="82"/>
        <v>0</v>
      </c>
      <c r="K920" s="724"/>
      <c r="L920" s="728"/>
      <c r="M920" s="724">
        <f t="shared" si="83"/>
        <v>0</v>
      </c>
      <c r="N920" s="728"/>
      <c r="O920" s="724">
        <f t="shared" si="84"/>
        <v>0</v>
      </c>
      <c r="P920" s="724">
        <f t="shared" si="85"/>
        <v>0</v>
      </c>
      <c r="Q920" s="674"/>
    </row>
    <row r="921" spans="2:17">
      <c r="B921" s="330"/>
      <c r="C921" s="720">
        <f>IF(D875="","-",+C920+1)</f>
        <v>2053</v>
      </c>
      <c r="D921" s="673">
        <f t="shared" si="86"/>
        <v>482990.81272727251</v>
      </c>
      <c r="E921" s="726">
        <f t="shared" si="87"/>
        <v>101682.27636363637</v>
      </c>
      <c r="F921" s="726">
        <f t="shared" si="80"/>
        <v>381308.53636363614</v>
      </c>
      <c r="G921" s="673">
        <f t="shared" si="81"/>
        <v>432149.67454545433</v>
      </c>
      <c r="H921" s="721">
        <f>+J876*G921+E921</f>
        <v>167979.45490630198</v>
      </c>
      <c r="I921" s="727">
        <f>+J877*G921+E921</f>
        <v>167979.45490630198</v>
      </c>
      <c r="J921" s="724">
        <f t="shared" si="82"/>
        <v>0</v>
      </c>
      <c r="K921" s="724"/>
      <c r="L921" s="728"/>
      <c r="M921" s="724">
        <f t="shared" si="83"/>
        <v>0</v>
      </c>
      <c r="N921" s="728"/>
      <c r="O921" s="724">
        <f t="shared" si="84"/>
        <v>0</v>
      </c>
      <c r="P921" s="724">
        <f t="shared" si="85"/>
        <v>0</v>
      </c>
      <c r="Q921" s="674"/>
    </row>
    <row r="922" spans="2:17">
      <c r="B922" s="330"/>
      <c r="C922" s="720">
        <f>IF(D875="","-",+C921+1)</f>
        <v>2054</v>
      </c>
      <c r="D922" s="673">
        <f t="shared" si="86"/>
        <v>381308.53636363614</v>
      </c>
      <c r="E922" s="726">
        <f t="shared" si="87"/>
        <v>101682.27636363637</v>
      </c>
      <c r="F922" s="726">
        <f t="shared" si="80"/>
        <v>279626.25999999978</v>
      </c>
      <c r="G922" s="673">
        <f t="shared" si="81"/>
        <v>330467.39818181796</v>
      </c>
      <c r="H922" s="721">
        <f>+J876*G922+E922</f>
        <v>152380.11877861593</v>
      </c>
      <c r="I922" s="727">
        <f>+J877*G922+E922</f>
        <v>152380.11877861593</v>
      </c>
      <c r="J922" s="724">
        <f t="shared" si="82"/>
        <v>0</v>
      </c>
      <c r="K922" s="724"/>
      <c r="L922" s="728"/>
      <c r="M922" s="724">
        <f t="shared" si="83"/>
        <v>0</v>
      </c>
      <c r="N922" s="728"/>
      <c r="O922" s="724">
        <f t="shared" si="84"/>
        <v>0</v>
      </c>
      <c r="P922" s="724">
        <f t="shared" si="85"/>
        <v>0</v>
      </c>
      <c r="Q922" s="674"/>
    </row>
    <row r="923" spans="2:17">
      <c r="B923" s="330"/>
      <c r="C923" s="720">
        <f>IF(D875="","-",+C922+1)</f>
        <v>2055</v>
      </c>
      <c r="D923" s="673">
        <f t="shared" si="86"/>
        <v>279626.25999999978</v>
      </c>
      <c r="E923" s="726">
        <f t="shared" si="87"/>
        <v>101682.27636363637</v>
      </c>
      <c r="F923" s="726">
        <f t="shared" si="80"/>
        <v>177943.98363636341</v>
      </c>
      <c r="G923" s="673">
        <f t="shared" si="81"/>
        <v>228785.12181818159</v>
      </c>
      <c r="H923" s="721">
        <f>+J876*G923+E923</f>
        <v>136780.7826509299</v>
      </c>
      <c r="I923" s="727">
        <f>+J877*G923+E923</f>
        <v>136780.7826509299</v>
      </c>
      <c r="J923" s="724">
        <f t="shared" si="82"/>
        <v>0</v>
      </c>
      <c r="K923" s="724"/>
      <c r="L923" s="728"/>
      <c r="M923" s="724">
        <f t="shared" si="83"/>
        <v>0</v>
      </c>
      <c r="N923" s="728"/>
      <c r="O923" s="724">
        <f t="shared" si="84"/>
        <v>0</v>
      </c>
      <c r="P923" s="724">
        <f t="shared" si="85"/>
        <v>0</v>
      </c>
      <c r="Q923" s="674"/>
    </row>
    <row r="924" spans="2:17">
      <c r="B924" s="330"/>
      <c r="C924" s="720">
        <f>IF(D875="","-",+C923+1)</f>
        <v>2056</v>
      </c>
      <c r="D924" s="673">
        <f t="shared" si="86"/>
        <v>177943.98363636341</v>
      </c>
      <c r="E924" s="726">
        <f t="shared" si="87"/>
        <v>101682.27636363637</v>
      </c>
      <c r="F924" s="726">
        <f t="shared" si="80"/>
        <v>76261.707272727042</v>
      </c>
      <c r="G924" s="673">
        <f t="shared" si="81"/>
        <v>127102.84545454523</v>
      </c>
      <c r="H924" s="721">
        <f>+J876*G924+E924</f>
        <v>121181.44652324387</v>
      </c>
      <c r="I924" s="727">
        <f>+J877*G924+E924</f>
        <v>121181.44652324387</v>
      </c>
      <c r="J924" s="724">
        <f t="shared" si="82"/>
        <v>0</v>
      </c>
      <c r="K924" s="724"/>
      <c r="L924" s="728"/>
      <c r="M924" s="724">
        <f t="shared" si="83"/>
        <v>0</v>
      </c>
      <c r="N924" s="728"/>
      <c r="O924" s="724">
        <f t="shared" si="84"/>
        <v>0</v>
      </c>
      <c r="P924" s="724">
        <f t="shared" si="85"/>
        <v>0</v>
      </c>
      <c r="Q924" s="674"/>
    </row>
    <row r="925" spans="2:17">
      <c r="B925" s="330"/>
      <c r="C925" s="720">
        <f>IF(D875="","-",+C924+1)</f>
        <v>2057</v>
      </c>
      <c r="D925" s="673">
        <f t="shared" si="86"/>
        <v>76261.707272727042</v>
      </c>
      <c r="E925" s="726">
        <f t="shared" si="87"/>
        <v>76261.707272727042</v>
      </c>
      <c r="F925" s="726">
        <f t="shared" si="80"/>
        <v>0</v>
      </c>
      <c r="G925" s="673">
        <f t="shared" si="81"/>
        <v>38130.853636363521</v>
      </c>
      <c r="H925" s="721">
        <f>+J876*G925+E925</f>
        <v>82111.458320609294</v>
      </c>
      <c r="I925" s="727">
        <f>+J877*G925+E925</f>
        <v>82111.458320609294</v>
      </c>
      <c r="J925" s="724">
        <f t="shared" si="82"/>
        <v>0</v>
      </c>
      <c r="K925" s="724"/>
      <c r="L925" s="728"/>
      <c r="M925" s="724">
        <f t="shared" si="83"/>
        <v>0</v>
      </c>
      <c r="N925" s="728"/>
      <c r="O925" s="724">
        <f t="shared" si="84"/>
        <v>0</v>
      </c>
      <c r="P925" s="724">
        <f t="shared" si="85"/>
        <v>0</v>
      </c>
      <c r="Q925" s="674"/>
    </row>
    <row r="926" spans="2:17">
      <c r="B926" s="330"/>
      <c r="C926" s="720">
        <f>IF(D875="","-",+C925+1)</f>
        <v>2058</v>
      </c>
      <c r="D926" s="673">
        <f t="shared" si="86"/>
        <v>0</v>
      </c>
      <c r="E926" s="726">
        <f t="shared" si="87"/>
        <v>0</v>
      </c>
      <c r="F926" s="726">
        <f t="shared" si="80"/>
        <v>0</v>
      </c>
      <c r="G926" s="673">
        <f t="shared" si="81"/>
        <v>0</v>
      </c>
      <c r="H926" s="721">
        <f>+J876*G926+E926</f>
        <v>0</v>
      </c>
      <c r="I926" s="727">
        <f>+J877*G926+E926</f>
        <v>0</v>
      </c>
      <c r="J926" s="724">
        <f t="shared" si="82"/>
        <v>0</v>
      </c>
      <c r="K926" s="724"/>
      <c r="L926" s="728"/>
      <c r="M926" s="724">
        <f t="shared" si="83"/>
        <v>0</v>
      </c>
      <c r="N926" s="728"/>
      <c r="O926" s="724">
        <f t="shared" si="84"/>
        <v>0</v>
      </c>
      <c r="P926" s="724">
        <f t="shared" si="85"/>
        <v>0</v>
      </c>
      <c r="Q926" s="674"/>
    </row>
    <row r="927" spans="2:17">
      <c r="B927" s="330"/>
      <c r="C927" s="720">
        <f>IF(D875="","-",+C926+1)</f>
        <v>2059</v>
      </c>
      <c r="D927" s="673">
        <f t="shared" si="86"/>
        <v>0</v>
      </c>
      <c r="E927" s="726">
        <f t="shared" si="87"/>
        <v>0</v>
      </c>
      <c r="F927" s="726">
        <f t="shared" si="80"/>
        <v>0</v>
      </c>
      <c r="G927" s="673">
        <f t="shared" si="81"/>
        <v>0</v>
      </c>
      <c r="H927" s="721">
        <f>+J876*G927+E927</f>
        <v>0</v>
      </c>
      <c r="I927" s="727">
        <f>+J877*G927+E927</f>
        <v>0</v>
      </c>
      <c r="J927" s="724">
        <f t="shared" si="82"/>
        <v>0</v>
      </c>
      <c r="K927" s="724"/>
      <c r="L927" s="728"/>
      <c r="M927" s="724">
        <f t="shared" si="83"/>
        <v>0</v>
      </c>
      <c r="N927" s="728"/>
      <c r="O927" s="724">
        <f t="shared" si="84"/>
        <v>0</v>
      </c>
      <c r="P927" s="724">
        <f t="shared" si="85"/>
        <v>0</v>
      </c>
      <c r="Q927" s="674"/>
    </row>
    <row r="928" spans="2:17">
      <c r="B928" s="330"/>
      <c r="C928" s="720">
        <f>IF(D875="","-",+C927+1)</f>
        <v>2060</v>
      </c>
      <c r="D928" s="673">
        <f t="shared" si="86"/>
        <v>0</v>
      </c>
      <c r="E928" s="726">
        <f t="shared" si="87"/>
        <v>0</v>
      </c>
      <c r="F928" s="726">
        <f t="shared" si="80"/>
        <v>0</v>
      </c>
      <c r="G928" s="673">
        <f t="shared" si="81"/>
        <v>0</v>
      </c>
      <c r="H928" s="721">
        <f>+J876*G928+E928</f>
        <v>0</v>
      </c>
      <c r="I928" s="727">
        <f>+J877*G928+E928</f>
        <v>0</v>
      </c>
      <c r="J928" s="724">
        <f t="shared" si="82"/>
        <v>0</v>
      </c>
      <c r="K928" s="724"/>
      <c r="L928" s="728"/>
      <c r="M928" s="724">
        <f t="shared" si="83"/>
        <v>0</v>
      </c>
      <c r="N928" s="728"/>
      <c r="O928" s="724">
        <f t="shared" si="84"/>
        <v>0</v>
      </c>
      <c r="P928" s="724">
        <f t="shared" si="85"/>
        <v>0</v>
      </c>
      <c r="Q928" s="674"/>
    </row>
    <row r="929" spans="2:17">
      <c r="B929" s="330"/>
      <c r="C929" s="720">
        <f>IF(D875="","-",+C928+1)</f>
        <v>2061</v>
      </c>
      <c r="D929" s="673">
        <f t="shared" si="86"/>
        <v>0</v>
      </c>
      <c r="E929" s="726">
        <f t="shared" si="87"/>
        <v>0</v>
      </c>
      <c r="F929" s="726">
        <f t="shared" si="80"/>
        <v>0</v>
      </c>
      <c r="G929" s="673">
        <f t="shared" si="81"/>
        <v>0</v>
      </c>
      <c r="H929" s="721">
        <f>+J876*G929+E929</f>
        <v>0</v>
      </c>
      <c r="I929" s="727">
        <f>+J877*G929+E929</f>
        <v>0</v>
      </c>
      <c r="J929" s="724">
        <f t="shared" si="82"/>
        <v>0</v>
      </c>
      <c r="K929" s="724"/>
      <c r="L929" s="728"/>
      <c r="M929" s="724">
        <f t="shared" si="83"/>
        <v>0</v>
      </c>
      <c r="N929" s="728"/>
      <c r="O929" s="724">
        <f t="shared" si="84"/>
        <v>0</v>
      </c>
      <c r="P929" s="724">
        <f t="shared" si="85"/>
        <v>0</v>
      </c>
      <c r="Q929" s="674"/>
    </row>
    <row r="930" spans="2:17">
      <c r="B930" s="330"/>
      <c r="C930" s="720">
        <f>IF(D875="","-",+C929+1)</f>
        <v>2062</v>
      </c>
      <c r="D930" s="673">
        <f t="shared" si="86"/>
        <v>0</v>
      </c>
      <c r="E930" s="726">
        <f t="shared" si="87"/>
        <v>0</v>
      </c>
      <c r="F930" s="726">
        <f t="shared" si="80"/>
        <v>0</v>
      </c>
      <c r="G930" s="673">
        <f t="shared" si="81"/>
        <v>0</v>
      </c>
      <c r="H930" s="721">
        <f>+J876*G930+E930</f>
        <v>0</v>
      </c>
      <c r="I930" s="727">
        <f>+J877*G930+E930</f>
        <v>0</v>
      </c>
      <c r="J930" s="724">
        <f t="shared" si="82"/>
        <v>0</v>
      </c>
      <c r="K930" s="724"/>
      <c r="L930" s="728"/>
      <c r="M930" s="724">
        <f t="shared" si="83"/>
        <v>0</v>
      </c>
      <c r="N930" s="728"/>
      <c r="O930" s="724">
        <f t="shared" si="84"/>
        <v>0</v>
      </c>
      <c r="P930" s="724">
        <f t="shared" si="85"/>
        <v>0</v>
      </c>
      <c r="Q930" s="674"/>
    </row>
    <row r="931" spans="2:17">
      <c r="B931" s="330"/>
      <c r="C931" s="720">
        <f>IF(D875="","-",+C930+1)</f>
        <v>2063</v>
      </c>
      <c r="D931" s="673">
        <f t="shared" si="86"/>
        <v>0</v>
      </c>
      <c r="E931" s="726">
        <f t="shared" si="87"/>
        <v>0</v>
      </c>
      <c r="F931" s="726">
        <f t="shared" si="80"/>
        <v>0</v>
      </c>
      <c r="G931" s="673">
        <f t="shared" si="81"/>
        <v>0</v>
      </c>
      <c r="H931" s="721">
        <f>+J876*G931+E931</f>
        <v>0</v>
      </c>
      <c r="I931" s="727">
        <f>+J877*G931+E931</f>
        <v>0</v>
      </c>
      <c r="J931" s="724">
        <f t="shared" si="82"/>
        <v>0</v>
      </c>
      <c r="K931" s="724"/>
      <c r="L931" s="728"/>
      <c r="M931" s="724">
        <f t="shared" si="83"/>
        <v>0</v>
      </c>
      <c r="N931" s="728"/>
      <c r="O931" s="724">
        <f t="shared" si="84"/>
        <v>0</v>
      </c>
      <c r="P931" s="724">
        <f t="shared" si="85"/>
        <v>0</v>
      </c>
      <c r="Q931" s="674"/>
    </row>
    <row r="932" spans="2:17">
      <c r="B932" s="330"/>
      <c r="C932" s="720">
        <f>IF(D875="","-",+C931+1)</f>
        <v>2064</v>
      </c>
      <c r="D932" s="673">
        <f t="shared" si="86"/>
        <v>0</v>
      </c>
      <c r="E932" s="726">
        <f t="shared" si="87"/>
        <v>0</v>
      </c>
      <c r="F932" s="726">
        <f t="shared" si="80"/>
        <v>0</v>
      </c>
      <c r="G932" s="673">
        <f t="shared" si="81"/>
        <v>0</v>
      </c>
      <c r="H932" s="721">
        <f>+J876*G932+E932</f>
        <v>0</v>
      </c>
      <c r="I932" s="727">
        <f>+J877*G932+E932</f>
        <v>0</v>
      </c>
      <c r="J932" s="724">
        <f t="shared" si="82"/>
        <v>0</v>
      </c>
      <c r="K932" s="724"/>
      <c r="L932" s="728"/>
      <c r="M932" s="724">
        <f t="shared" si="83"/>
        <v>0</v>
      </c>
      <c r="N932" s="728"/>
      <c r="O932" s="724">
        <f t="shared" si="84"/>
        <v>0</v>
      </c>
      <c r="P932" s="724">
        <f t="shared" si="85"/>
        <v>0</v>
      </c>
      <c r="Q932" s="674"/>
    </row>
    <row r="933" spans="2:17">
      <c r="B933" s="330"/>
      <c r="C933" s="720">
        <f>IF(D875="","-",+C932+1)</f>
        <v>2065</v>
      </c>
      <c r="D933" s="673">
        <f t="shared" si="86"/>
        <v>0</v>
      </c>
      <c r="E933" s="726">
        <f t="shared" si="87"/>
        <v>0</v>
      </c>
      <c r="F933" s="726">
        <f t="shared" si="80"/>
        <v>0</v>
      </c>
      <c r="G933" s="673">
        <f t="shared" si="81"/>
        <v>0</v>
      </c>
      <c r="H933" s="721">
        <f>+J876*G933+E933</f>
        <v>0</v>
      </c>
      <c r="I933" s="727">
        <f>+J877*G933+E933</f>
        <v>0</v>
      </c>
      <c r="J933" s="724">
        <f t="shared" si="82"/>
        <v>0</v>
      </c>
      <c r="K933" s="724"/>
      <c r="L933" s="728"/>
      <c r="M933" s="724">
        <f t="shared" si="83"/>
        <v>0</v>
      </c>
      <c r="N933" s="728"/>
      <c r="O933" s="724">
        <f t="shared" si="84"/>
        <v>0</v>
      </c>
      <c r="P933" s="724">
        <f t="shared" si="85"/>
        <v>0</v>
      </c>
      <c r="Q933" s="674"/>
    </row>
    <row r="934" spans="2:17">
      <c r="B934" s="330"/>
      <c r="C934" s="720">
        <f>IF(D875="","-",+C933+1)</f>
        <v>2066</v>
      </c>
      <c r="D934" s="673">
        <f t="shared" si="86"/>
        <v>0</v>
      </c>
      <c r="E934" s="726">
        <f t="shared" si="87"/>
        <v>0</v>
      </c>
      <c r="F934" s="726">
        <f t="shared" si="80"/>
        <v>0</v>
      </c>
      <c r="G934" s="673">
        <f t="shared" si="81"/>
        <v>0</v>
      </c>
      <c r="H934" s="721">
        <f>+J876*G934+E934</f>
        <v>0</v>
      </c>
      <c r="I934" s="727">
        <f>+J877*G934+E934</f>
        <v>0</v>
      </c>
      <c r="J934" s="724">
        <f t="shared" si="82"/>
        <v>0</v>
      </c>
      <c r="K934" s="724"/>
      <c r="L934" s="728"/>
      <c r="M934" s="724">
        <f t="shared" si="83"/>
        <v>0</v>
      </c>
      <c r="N934" s="728"/>
      <c r="O934" s="724">
        <f t="shared" si="84"/>
        <v>0</v>
      </c>
      <c r="P934" s="724">
        <f t="shared" si="85"/>
        <v>0</v>
      </c>
      <c r="Q934" s="674"/>
    </row>
    <row r="935" spans="2:17">
      <c r="B935" s="330"/>
      <c r="C935" s="720">
        <f>IF(D875="","-",+C934+1)</f>
        <v>2067</v>
      </c>
      <c r="D935" s="673">
        <f t="shared" si="86"/>
        <v>0</v>
      </c>
      <c r="E935" s="726">
        <f t="shared" si="87"/>
        <v>0</v>
      </c>
      <c r="F935" s="726">
        <f t="shared" si="80"/>
        <v>0</v>
      </c>
      <c r="G935" s="673">
        <f t="shared" si="81"/>
        <v>0</v>
      </c>
      <c r="H935" s="721">
        <f>+J876*G935+E935</f>
        <v>0</v>
      </c>
      <c r="I935" s="727">
        <f>+J877*G935+E935</f>
        <v>0</v>
      </c>
      <c r="J935" s="724">
        <f t="shared" si="82"/>
        <v>0</v>
      </c>
      <c r="K935" s="724"/>
      <c r="L935" s="728"/>
      <c r="M935" s="724">
        <f t="shared" si="83"/>
        <v>0</v>
      </c>
      <c r="N935" s="728"/>
      <c r="O935" s="724">
        <f t="shared" si="84"/>
        <v>0</v>
      </c>
      <c r="P935" s="724">
        <f t="shared" si="85"/>
        <v>0</v>
      </c>
      <c r="Q935" s="674"/>
    </row>
    <row r="936" spans="2:17">
      <c r="B936" s="330"/>
      <c r="C936" s="720">
        <f>IF(D875="","-",+C935+1)</f>
        <v>2068</v>
      </c>
      <c r="D936" s="673">
        <f t="shared" si="86"/>
        <v>0</v>
      </c>
      <c r="E936" s="726">
        <f t="shared" si="87"/>
        <v>0</v>
      </c>
      <c r="F936" s="726">
        <f t="shared" si="80"/>
        <v>0</v>
      </c>
      <c r="G936" s="673">
        <f t="shared" si="81"/>
        <v>0</v>
      </c>
      <c r="H936" s="721">
        <f>+J876*G936+E936</f>
        <v>0</v>
      </c>
      <c r="I936" s="727">
        <f>+J877*G936+E936</f>
        <v>0</v>
      </c>
      <c r="J936" s="724">
        <f t="shared" si="82"/>
        <v>0</v>
      </c>
      <c r="K936" s="724"/>
      <c r="L936" s="728"/>
      <c r="M936" s="724">
        <f t="shared" si="83"/>
        <v>0</v>
      </c>
      <c r="N936" s="728"/>
      <c r="O936" s="724">
        <f t="shared" si="84"/>
        <v>0</v>
      </c>
      <c r="P936" s="724">
        <f t="shared" si="85"/>
        <v>0</v>
      </c>
      <c r="Q936" s="674"/>
    </row>
    <row r="937" spans="2:17">
      <c r="B937" s="330"/>
      <c r="C937" s="720">
        <f>IF(D875="","-",+C936+1)</f>
        <v>2069</v>
      </c>
      <c r="D937" s="673">
        <f t="shared" si="86"/>
        <v>0</v>
      </c>
      <c r="E937" s="726">
        <f t="shared" si="87"/>
        <v>0</v>
      </c>
      <c r="F937" s="726">
        <f t="shared" si="80"/>
        <v>0</v>
      </c>
      <c r="G937" s="673">
        <f t="shared" si="81"/>
        <v>0</v>
      </c>
      <c r="H937" s="721">
        <f>+J876*G937+E937</f>
        <v>0</v>
      </c>
      <c r="I937" s="727">
        <f>+J877*G937+E937</f>
        <v>0</v>
      </c>
      <c r="J937" s="724">
        <f t="shared" si="82"/>
        <v>0</v>
      </c>
      <c r="K937" s="724"/>
      <c r="L937" s="728"/>
      <c r="M937" s="724">
        <f t="shared" si="83"/>
        <v>0</v>
      </c>
      <c r="N937" s="728"/>
      <c r="O937" s="724">
        <f t="shared" si="84"/>
        <v>0</v>
      </c>
      <c r="P937" s="724">
        <f t="shared" si="85"/>
        <v>0</v>
      </c>
      <c r="Q937" s="674"/>
    </row>
    <row r="938" spans="2:17">
      <c r="B938" s="330"/>
      <c r="C938" s="720">
        <f>IF(D875="","-",+C937+1)</f>
        <v>2070</v>
      </c>
      <c r="D938" s="673">
        <f t="shared" si="86"/>
        <v>0</v>
      </c>
      <c r="E938" s="726">
        <f t="shared" si="87"/>
        <v>0</v>
      </c>
      <c r="F938" s="726">
        <f t="shared" si="80"/>
        <v>0</v>
      </c>
      <c r="G938" s="673">
        <f t="shared" si="81"/>
        <v>0</v>
      </c>
      <c r="H938" s="721">
        <f>+J876*G938+E938</f>
        <v>0</v>
      </c>
      <c r="I938" s="727">
        <f>+J877*G938+E938</f>
        <v>0</v>
      </c>
      <c r="J938" s="724">
        <f t="shared" si="82"/>
        <v>0</v>
      </c>
      <c r="K938" s="724"/>
      <c r="L938" s="728"/>
      <c r="M938" s="724">
        <f t="shared" si="83"/>
        <v>0</v>
      </c>
      <c r="N938" s="728"/>
      <c r="O938" s="724">
        <f t="shared" si="84"/>
        <v>0</v>
      </c>
      <c r="P938" s="724">
        <f t="shared" si="85"/>
        <v>0</v>
      </c>
      <c r="Q938" s="674"/>
    </row>
    <row r="939" spans="2:17">
      <c r="B939" s="330"/>
      <c r="C939" s="720">
        <f>IF(D875="","-",+C938+1)</f>
        <v>2071</v>
      </c>
      <c r="D939" s="673">
        <f t="shared" si="86"/>
        <v>0</v>
      </c>
      <c r="E939" s="726">
        <f t="shared" si="87"/>
        <v>0</v>
      </c>
      <c r="F939" s="726">
        <f t="shared" si="80"/>
        <v>0</v>
      </c>
      <c r="G939" s="673">
        <f t="shared" si="81"/>
        <v>0</v>
      </c>
      <c r="H939" s="721">
        <f>+J876*G939+E939</f>
        <v>0</v>
      </c>
      <c r="I939" s="727">
        <f>+J877*G939+E939</f>
        <v>0</v>
      </c>
      <c r="J939" s="724">
        <f t="shared" si="82"/>
        <v>0</v>
      </c>
      <c r="K939" s="724"/>
      <c r="L939" s="728"/>
      <c r="M939" s="724">
        <f t="shared" si="83"/>
        <v>0</v>
      </c>
      <c r="N939" s="728"/>
      <c r="O939" s="724">
        <f t="shared" si="84"/>
        <v>0</v>
      </c>
      <c r="P939" s="724">
        <f t="shared" si="85"/>
        <v>0</v>
      </c>
      <c r="Q939" s="674"/>
    </row>
    <row r="940" spans="2:17" ht="13.5" thickBot="1">
      <c r="B940" s="330"/>
      <c r="C940" s="730">
        <f>IF(D875="","-",+C939+1)</f>
        <v>2072</v>
      </c>
      <c r="D940" s="731">
        <f t="shared" si="86"/>
        <v>0</v>
      </c>
      <c r="E940" s="1309">
        <f t="shared" si="87"/>
        <v>0</v>
      </c>
      <c r="F940" s="732">
        <f t="shared" si="80"/>
        <v>0</v>
      </c>
      <c r="G940" s="731">
        <f t="shared" si="81"/>
        <v>0</v>
      </c>
      <c r="H940" s="733">
        <f>+J876*G940+E940</f>
        <v>0</v>
      </c>
      <c r="I940" s="733">
        <f>+J877*G940+E940</f>
        <v>0</v>
      </c>
      <c r="J940" s="734">
        <f t="shared" si="82"/>
        <v>0</v>
      </c>
      <c r="K940" s="724"/>
      <c r="L940" s="735"/>
      <c r="M940" s="734">
        <f t="shared" si="83"/>
        <v>0</v>
      </c>
      <c r="N940" s="735"/>
      <c r="O940" s="734">
        <f t="shared" si="84"/>
        <v>0</v>
      </c>
      <c r="P940" s="734">
        <f t="shared" si="85"/>
        <v>0</v>
      </c>
      <c r="Q940" s="674"/>
    </row>
    <row r="941" spans="2:17">
      <c r="B941" s="330"/>
      <c r="C941" s="673" t="s">
        <v>288</v>
      </c>
      <c r="D941" s="669"/>
      <c r="E941" s="669">
        <f>SUM(E881:E940)</f>
        <v>4474020.16</v>
      </c>
      <c r="F941" s="669"/>
      <c r="G941" s="669"/>
      <c r="H941" s="669">
        <f>SUM(H881:H940)</f>
        <v>20088955.623813719</v>
      </c>
      <c r="I941" s="669">
        <f>SUM(I881:I940)</f>
        <v>20088955.623813719</v>
      </c>
      <c r="J941" s="669">
        <f>SUM(J881:J940)</f>
        <v>0</v>
      </c>
      <c r="K941" s="669"/>
      <c r="L941" s="669"/>
      <c r="M941" s="669"/>
      <c r="N941" s="669"/>
      <c r="O941" s="669"/>
      <c r="Q941" s="669"/>
    </row>
    <row r="942" spans="2:17">
      <c r="B942" s="330"/>
      <c r="D942" s="563"/>
      <c r="E942" s="542"/>
      <c r="F942" s="542"/>
      <c r="G942" s="542"/>
      <c r="H942" s="542"/>
      <c r="I942" s="646"/>
      <c r="J942" s="646"/>
      <c r="K942" s="669"/>
      <c r="L942" s="646"/>
      <c r="M942" s="646"/>
      <c r="N942" s="646"/>
      <c r="O942" s="646"/>
      <c r="Q942" s="669"/>
    </row>
    <row r="943" spans="2:17">
      <c r="B943" s="330"/>
      <c r="C943" s="542" t="s">
        <v>595</v>
      </c>
      <c r="D943" s="563"/>
      <c r="E943" s="542"/>
      <c r="F943" s="542"/>
      <c r="G943" s="542"/>
      <c r="H943" s="542"/>
      <c r="I943" s="646"/>
      <c r="J943" s="646"/>
      <c r="K943" s="669"/>
      <c r="L943" s="646"/>
      <c r="M943" s="646"/>
      <c r="N943" s="646"/>
      <c r="O943" s="646"/>
      <c r="Q943" s="669"/>
    </row>
    <row r="944" spans="2:17">
      <c r="B944" s="330"/>
      <c r="D944" s="563"/>
      <c r="E944" s="542"/>
      <c r="F944" s="542"/>
      <c r="G944" s="542"/>
      <c r="H944" s="542"/>
      <c r="I944" s="646"/>
      <c r="J944" s="646"/>
      <c r="K944" s="669"/>
      <c r="L944" s="646"/>
      <c r="M944" s="646"/>
      <c r="N944" s="646"/>
      <c r="O944" s="646"/>
      <c r="Q944" s="669"/>
    </row>
    <row r="945" spans="1:17">
      <c r="B945" s="330"/>
      <c r="C945" s="576" t="s">
        <v>596</v>
      </c>
      <c r="D945" s="673"/>
      <c r="E945" s="673"/>
      <c r="F945" s="673"/>
      <c r="G945" s="673"/>
      <c r="H945" s="669"/>
      <c r="I945" s="669"/>
      <c r="J945" s="674"/>
      <c r="K945" s="674"/>
      <c r="L945" s="674"/>
      <c r="M945" s="674"/>
      <c r="N945" s="674"/>
      <c r="O945" s="674"/>
      <c r="Q945" s="674"/>
    </row>
    <row r="946" spans="1:17">
      <c r="B946" s="330"/>
      <c r="C946" s="576" t="s">
        <v>476</v>
      </c>
      <c r="D946" s="673"/>
      <c r="E946" s="673"/>
      <c r="F946" s="673"/>
      <c r="G946" s="673"/>
      <c r="H946" s="669"/>
      <c r="I946" s="669"/>
      <c r="J946" s="674"/>
      <c r="K946" s="674"/>
      <c r="L946" s="674"/>
      <c r="M946" s="674"/>
      <c r="N946" s="674"/>
      <c r="O946" s="674"/>
      <c r="Q946" s="674"/>
    </row>
    <row r="947" spans="1:17">
      <c r="B947" s="330"/>
      <c r="C947" s="576" t="s">
        <v>289</v>
      </c>
      <c r="D947" s="673"/>
      <c r="E947" s="673"/>
      <c r="F947" s="673"/>
      <c r="G947" s="673"/>
      <c r="H947" s="669"/>
      <c r="I947" s="669"/>
      <c r="J947" s="674"/>
      <c r="K947" s="674"/>
      <c r="L947" s="674"/>
      <c r="M947" s="674"/>
      <c r="N947" s="674"/>
      <c r="O947" s="674"/>
      <c r="Q947" s="674"/>
    </row>
    <row r="948" spans="1:17" ht="20.25">
      <c r="A948" s="675" t="s">
        <v>764</v>
      </c>
      <c r="B948" s="542"/>
      <c r="C948" s="655"/>
      <c r="D948" s="563"/>
      <c r="E948" s="542"/>
      <c r="F948" s="645"/>
      <c r="G948" s="645"/>
      <c r="H948" s="542"/>
      <c r="I948" s="646"/>
      <c r="L948" s="676"/>
      <c r="M948" s="676"/>
      <c r="N948" s="676"/>
      <c r="O948" s="591" t="str">
        <f>"Page "&amp;SUM(Q$3:Q948)&amp;" of "</f>
        <v xml:space="preserve">Page 12 of </v>
      </c>
      <c r="P948" s="592">
        <f>COUNT(Q$8:Q$58212)</f>
        <v>23</v>
      </c>
      <c r="Q948" s="756">
        <v>1</v>
      </c>
    </row>
    <row r="949" spans="1:17">
      <c r="B949" s="542"/>
      <c r="C949" s="542"/>
      <c r="D949" s="563"/>
      <c r="E949" s="542"/>
      <c r="F949" s="542"/>
      <c r="G949" s="542"/>
      <c r="H949" s="542"/>
      <c r="I949" s="646"/>
      <c r="J949" s="542"/>
      <c r="K949" s="588"/>
      <c r="Q949" s="588"/>
    </row>
    <row r="950" spans="1:17" ht="18">
      <c r="B950" s="595" t="s">
        <v>174</v>
      </c>
      <c r="C950" s="677" t="s">
        <v>290</v>
      </c>
      <c r="D950" s="563"/>
      <c r="E950" s="542"/>
      <c r="F950" s="542"/>
      <c r="G950" s="542"/>
      <c r="H950" s="542"/>
      <c r="I950" s="646"/>
      <c r="J950" s="646"/>
      <c r="K950" s="669"/>
      <c r="L950" s="646"/>
      <c r="M950" s="646"/>
      <c r="N950" s="646"/>
      <c r="O950" s="646"/>
      <c r="Q950" s="669"/>
    </row>
    <row r="951" spans="1:17" ht="18.75">
      <c r="B951" s="595"/>
      <c r="C951" s="594"/>
      <c r="D951" s="563"/>
      <c r="E951" s="542"/>
      <c r="F951" s="542"/>
      <c r="G951" s="542"/>
      <c r="H951" s="542"/>
      <c r="I951" s="646"/>
      <c r="J951" s="646"/>
      <c r="K951" s="669"/>
      <c r="L951" s="646"/>
      <c r="M951" s="646"/>
      <c r="N951" s="646"/>
      <c r="O951" s="646"/>
      <c r="Q951" s="669"/>
    </row>
    <row r="952" spans="1:17" ht="18.75">
      <c r="B952" s="595"/>
      <c r="C952" s="594" t="s">
        <v>291</v>
      </c>
      <c r="D952" s="563"/>
      <c r="E952" s="542"/>
      <c r="F952" s="542"/>
      <c r="G952" s="542"/>
      <c r="H952" s="542"/>
      <c r="I952" s="646"/>
      <c r="J952" s="646"/>
      <c r="K952" s="669"/>
      <c r="L952" s="646"/>
      <c r="M952" s="646"/>
      <c r="N952" s="646"/>
      <c r="O952" s="646"/>
      <c r="Q952" s="669"/>
    </row>
    <row r="953" spans="1:17" ht="15.75" thickBot="1">
      <c r="B953" s="330"/>
      <c r="C953" s="396"/>
      <c r="D953" s="563"/>
      <c r="E953" s="542"/>
      <c r="F953" s="542"/>
      <c r="G953" s="542"/>
      <c r="H953" s="542"/>
      <c r="I953" s="646"/>
      <c r="J953" s="646"/>
      <c r="K953" s="669"/>
      <c r="L953" s="646"/>
      <c r="M953" s="646"/>
      <c r="N953" s="646"/>
      <c r="O953" s="646"/>
      <c r="Q953" s="669"/>
    </row>
    <row r="954" spans="1:17" ht="15.75">
      <c r="B954" s="330"/>
      <c r="C954" s="596" t="s">
        <v>292</v>
      </c>
      <c r="D954" s="563"/>
      <c r="E954" s="542"/>
      <c r="F954" s="542"/>
      <c r="G954" s="542"/>
      <c r="H954" s="864"/>
      <c r="I954" s="542" t="s">
        <v>271</v>
      </c>
      <c r="J954" s="542"/>
      <c r="K954" s="588"/>
      <c r="L954" s="757">
        <f>+J960</f>
        <v>2021</v>
      </c>
      <c r="M954" s="739" t="s">
        <v>254</v>
      </c>
      <c r="N954" s="739" t="s">
        <v>255</v>
      </c>
      <c r="O954" s="740" t="s">
        <v>256</v>
      </c>
      <c r="Q954" s="588"/>
    </row>
    <row r="955" spans="1:17" ht="15.75">
      <c r="B955" s="330"/>
      <c r="C955" s="596"/>
      <c r="D955" s="563"/>
      <c r="E955" s="542"/>
      <c r="F955" s="542"/>
      <c r="H955" s="542"/>
      <c r="I955" s="681"/>
      <c r="J955" s="681"/>
      <c r="K955" s="682"/>
      <c r="L955" s="758" t="s">
        <v>455</v>
      </c>
      <c r="M955" s="759">
        <f>VLOOKUP(J960,C967:P1026,10)</f>
        <v>0</v>
      </c>
      <c r="N955" s="759">
        <f>VLOOKUP(J960,C967:P1026,12)</f>
        <v>0</v>
      </c>
      <c r="O955" s="760">
        <f>+N955-M955</f>
        <v>0</v>
      </c>
      <c r="Q955" s="682"/>
    </row>
    <row r="956" spans="1:17">
      <c r="B956" s="330"/>
      <c r="C956" s="684" t="s">
        <v>293</v>
      </c>
      <c r="D956" s="1703" t="s">
        <v>944</v>
      </c>
      <c r="E956" s="1703"/>
      <c r="F956" s="1703"/>
      <c r="G956" s="1703"/>
      <c r="H956" s="1703"/>
      <c r="I956" s="1703"/>
      <c r="J956" s="646"/>
      <c r="K956" s="669"/>
      <c r="L956" s="758" t="s">
        <v>456</v>
      </c>
      <c r="M956" s="761">
        <f>VLOOKUP(J960,C967:P1026,6)</f>
        <v>0</v>
      </c>
      <c r="N956" s="761">
        <f>VLOOKUP(J960,C967:P1026,7)</f>
        <v>0</v>
      </c>
      <c r="O956" s="762">
        <f>+N956-M956</f>
        <v>0</v>
      </c>
      <c r="Q956" s="669"/>
    </row>
    <row r="957" spans="1:17" ht="13.5" thickBot="1">
      <c r="B957" s="330"/>
      <c r="C957" s="686"/>
      <c r="D957" s="1703" t="s">
        <v>114</v>
      </c>
      <c r="E957" s="1703"/>
      <c r="F957" s="1703"/>
      <c r="G957" s="1703"/>
      <c r="H957" s="1703"/>
      <c r="I957" s="1703"/>
      <c r="J957" s="646"/>
      <c r="K957" s="669"/>
      <c r="L957" s="705" t="s">
        <v>457</v>
      </c>
      <c r="M957" s="763">
        <f>+M956-M955</f>
        <v>0</v>
      </c>
      <c r="N957" s="763">
        <f>+N956-N955</f>
        <v>0</v>
      </c>
      <c r="O957" s="764">
        <f>+O956-O955</f>
        <v>0</v>
      </c>
      <c r="Q957" s="669"/>
    </row>
    <row r="958" spans="1:17" ht="13.5" thickBot="1">
      <c r="B958" s="330"/>
      <c r="C958" s="689"/>
      <c r="D958" s="690"/>
      <c r="E958" s="688"/>
      <c r="F958" s="688"/>
      <c r="G958" s="688"/>
      <c r="H958" s="688"/>
      <c r="I958" s="688"/>
      <c r="J958" s="688"/>
      <c r="K958" s="691"/>
      <c r="L958" s="688"/>
      <c r="M958" s="688"/>
      <c r="N958" s="688"/>
      <c r="O958" s="688"/>
      <c r="P958" s="576"/>
      <c r="Q958" s="691"/>
    </row>
    <row r="959" spans="1:17" ht="13.5" thickBot="1">
      <c r="B959" s="330"/>
      <c r="C959" s="692" t="s">
        <v>294</v>
      </c>
      <c r="D959" s="693"/>
      <c r="E959" s="693"/>
      <c r="F959" s="693"/>
      <c r="G959" s="693"/>
      <c r="H959" s="693"/>
      <c r="I959" s="693"/>
      <c r="J959" s="693"/>
      <c r="K959" s="695"/>
      <c r="P959" s="696"/>
      <c r="Q959" s="695"/>
    </row>
    <row r="960" spans="1:17" ht="15">
      <c r="A960" s="1310"/>
      <c r="B960" s="330"/>
      <c r="C960" s="697" t="s">
        <v>272</v>
      </c>
      <c r="D960" s="1253">
        <v>0</v>
      </c>
      <c r="E960" s="655" t="s">
        <v>273</v>
      </c>
      <c r="H960" s="698"/>
      <c r="I960" s="698"/>
      <c r="J960" s="1451">
        <f>$J$95</f>
        <v>2021</v>
      </c>
      <c r="K960" s="586"/>
      <c r="L960" s="1717" t="s">
        <v>274</v>
      </c>
      <c r="M960" s="1717"/>
      <c r="N960" s="1717"/>
      <c r="O960" s="1717"/>
      <c r="P960" s="588"/>
      <c r="Q960" s="586"/>
    </row>
    <row r="961" spans="1:17">
      <c r="A961" s="1310"/>
      <c r="B961" s="330"/>
      <c r="C961" s="697" t="s">
        <v>275</v>
      </c>
      <c r="D961" s="865">
        <v>2014</v>
      </c>
      <c r="E961" s="697" t="s">
        <v>276</v>
      </c>
      <c r="F961" s="698"/>
      <c r="G961" s="698"/>
      <c r="I961" s="330"/>
      <c r="J961" s="867">
        <v>0</v>
      </c>
      <c r="K961" s="700"/>
      <c r="L961" s="669" t="s">
        <v>475</v>
      </c>
      <c r="P961" s="588"/>
      <c r="Q961" s="700"/>
    </row>
    <row r="962" spans="1:17">
      <c r="A962" s="1310"/>
      <c r="B962" s="330"/>
      <c r="C962" s="697" t="s">
        <v>277</v>
      </c>
      <c r="D962" s="1253">
        <v>12</v>
      </c>
      <c r="E962" s="697" t="s">
        <v>278</v>
      </c>
      <c r="F962" s="698"/>
      <c r="G962" s="698"/>
      <c r="I962" s="330"/>
      <c r="J962" s="701">
        <f>$F$70</f>
        <v>0.15341253840442806</v>
      </c>
      <c r="K962" s="702"/>
      <c r="L962" s="542" t="str">
        <f>"          INPUT TRUE-UP ARR (WITH &amp; WITHOUT INCENTIVES) FROM EACH PRIOR YEAR"</f>
        <v xml:space="preserve">          INPUT TRUE-UP ARR (WITH &amp; WITHOUT INCENTIVES) FROM EACH PRIOR YEAR</v>
      </c>
      <c r="P962" s="588"/>
      <c r="Q962" s="702"/>
    </row>
    <row r="963" spans="1:17">
      <c r="A963" s="1310"/>
      <c r="B963" s="330"/>
      <c r="C963" s="697" t="s">
        <v>279</v>
      </c>
      <c r="D963" s="703">
        <f>H79</f>
        <v>44</v>
      </c>
      <c r="E963" s="697" t="s">
        <v>280</v>
      </c>
      <c r="F963" s="698"/>
      <c r="G963" s="698"/>
      <c r="I963" s="330"/>
      <c r="J963" s="701">
        <f>IF(H954="",J962,$F$69)</f>
        <v>0.15341253840442806</v>
      </c>
      <c r="K963" s="704"/>
      <c r="L963" s="542" t="s">
        <v>362</v>
      </c>
      <c r="M963" s="704"/>
      <c r="N963" s="704"/>
      <c r="O963" s="704"/>
      <c r="P963" s="588"/>
      <c r="Q963" s="704"/>
    </row>
    <row r="964" spans="1:17" ht="13.5" thickBot="1">
      <c r="A964" s="1310"/>
      <c r="B964" s="330"/>
      <c r="C964" s="697" t="s">
        <v>281</v>
      </c>
      <c r="D964" s="866" t="s">
        <v>933</v>
      </c>
      <c r="E964" s="705" t="s">
        <v>282</v>
      </c>
      <c r="F964" s="706"/>
      <c r="G964" s="706"/>
      <c r="H964" s="707"/>
      <c r="I964" s="707"/>
      <c r="J964" s="685">
        <f>IF(D960=0,0,D960/D963)</f>
        <v>0</v>
      </c>
      <c r="K964" s="669"/>
      <c r="L964" s="669" t="s">
        <v>363</v>
      </c>
      <c r="M964" s="669"/>
      <c r="N964" s="669"/>
      <c r="O964" s="669"/>
      <c r="P964" s="588"/>
      <c r="Q964" s="669"/>
    </row>
    <row r="965" spans="1:17" ht="38.25">
      <c r="A965" s="529"/>
      <c r="B965" s="529"/>
      <c r="C965" s="708" t="s">
        <v>272</v>
      </c>
      <c r="D965" s="709" t="s">
        <v>283</v>
      </c>
      <c r="E965" s="710" t="s">
        <v>284</v>
      </c>
      <c r="F965" s="709" t="s">
        <v>285</v>
      </c>
      <c r="G965" s="709" t="s">
        <v>458</v>
      </c>
      <c r="H965" s="710" t="s">
        <v>356</v>
      </c>
      <c r="I965" s="711" t="s">
        <v>356</v>
      </c>
      <c r="J965" s="708" t="s">
        <v>295</v>
      </c>
      <c r="K965" s="712"/>
      <c r="L965" s="710" t="s">
        <v>358</v>
      </c>
      <c r="M965" s="710" t="s">
        <v>364</v>
      </c>
      <c r="N965" s="710" t="s">
        <v>358</v>
      </c>
      <c r="O965" s="710" t="s">
        <v>366</v>
      </c>
      <c r="P965" s="710" t="s">
        <v>286</v>
      </c>
      <c r="Q965" s="713"/>
    </row>
    <row r="966" spans="1:17" ht="13.5" thickBot="1">
      <c r="B966" s="330"/>
      <c r="C966" s="714" t="s">
        <v>177</v>
      </c>
      <c r="D966" s="715" t="s">
        <v>178</v>
      </c>
      <c r="E966" s="714" t="s">
        <v>37</v>
      </c>
      <c r="F966" s="715" t="s">
        <v>178</v>
      </c>
      <c r="G966" s="715" t="s">
        <v>178</v>
      </c>
      <c r="H966" s="716" t="s">
        <v>298</v>
      </c>
      <c r="I966" s="717" t="s">
        <v>300</v>
      </c>
      <c r="J966" s="718" t="s">
        <v>389</v>
      </c>
      <c r="K966" s="719"/>
      <c r="L966" s="716" t="s">
        <v>287</v>
      </c>
      <c r="M966" s="716" t="s">
        <v>287</v>
      </c>
      <c r="N966" s="716" t="s">
        <v>467</v>
      </c>
      <c r="O966" s="716" t="s">
        <v>467</v>
      </c>
      <c r="P966" s="716" t="s">
        <v>467</v>
      </c>
      <c r="Q966" s="586"/>
    </row>
    <row r="967" spans="1:17">
      <c r="B967" s="330"/>
      <c r="C967" s="720">
        <f>IF(D961= "","-",D961)</f>
        <v>2014</v>
      </c>
      <c r="D967" s="673">
        <f>+D960</f>
        <v>0</v>
      </c>
      <c r="E967" s="721">
        <f>+J964/12*(12-D962)</f>
        <v>0</v>
      </c>
      <c r="F967" s="765">
        <f t="shared" ref="F967:F1026" si="88">+D967-E967</f>
        <v>0</v>
      </c>
      <c r="G967" s="673">
        <f t="shared" ref="G967:G1026" si="89">+(D967+F967)/2</f>
        <v>0</v>
      </c>
      <c r="H967" s="722">
        <f>+J962*G967+E967</f>
        <v>0</v>
      </c>
      <c r="I967" s="723">
        <f>+J963*G967+E967</f>
        <v>0</v>
      </c>
      <c r="J967" s="724">
        <f t="shared" ref="J967:J1026" si="90">+I967-H967</f>
        <v>0</v>
      </c>
      <c r="K967" s="724"/>
      <c r="L967" s="728">
        <v>99055</v>
      </c>
      <c r="M967" s="766">
        <f t="shared" ref="M967:M1026" si="91">IF(L967&lt;&gt;0,+H967-L967,0)</f>
        <v>-99055</v>
      </c>
      <c r="N967" s="728">
        <v>99055</v>
      </c>
      <c r="O967" s="766">
        <f t="shared" ref="O967:O1026" si="92">IF(N967&lt;&gt;0,+I967-N967,0)</f>
        <v>-99055</v>
      </c>
      <c r="P967" s="766">
        <f t="shared" ref="P967:P1026" si="93">+O967-M967</f>
        <v>0</v>
      </c>
      <c r="Q967" s="674"/>
    </row>
    <row r="968" spans="1:17">
      <c r="B968" s="330"/>
      <c r="C968" s="720">
        <f>IF(D961="","-",+C967+1)</f>
        <v>2015</v>
      </c>
      <c r="D968" s="673">
        <f t="shared" ref="D968:D1026" si="94">F967</f>
        <v>0</v>
      </c>
      <c r="E968" s="726">
        <f>IF(D968&gt;$J$964,$J$964,D968)</f>
        <v>0</v>
      </c>
      <c r="F968" s="726">
        <f t="shared" si="88"/>
        <v>0</v>
      </c>
      <c r="G968" s="673">
        <f t="shared" si="89"/>
        <v>0</v>
      </c>
      <c r="H968" s="721">
        <f>+J962*G968+E968</f>
        <v>0</v>
      </c>
      <c r="I968" s="727">
        <f>+J963*G968+E968</f>
        <v>0</v>
      </c>
      <c r="J968" s="724">
        <f t="shared" si="90"/>
        <v>0</v>
      </c>
      <c r="K968" s="724"/>
      <c r="L968" s="728">
        <v>178664</v>
      </c>
      <c r="M968" s="724">
        <f t="shared" si="91"/>
        <v>-178664</v>
      </c>
      <c r="N968" s="728">
        <v>178664</v>
      </c>
      <c r="O968" s="724">
        <f t="shared" si="92"/>
        <v>-178664</v>
      </c>
      <c r="P968" s="724">
        <f t="shared" si="93"/>
        <v>0</v>
      </c>
      <c r="Q968" s="674"/>
    </row>
    <row r="969" spans="1:17">
      <c r="B969" s="330"/>
      <c r="C969" s="720">
        <f>IF(D961="","-",+C968+1)</f>
        <v>2016</v>
      </c>
      <c r="D969" s="673">
        <f t="shared" si="94"/>
        <v>0</v>
      </c>
      <c r="E969" s="726">
        <f t="shared" ref="E969:E1026" si="95">IF(D969&gt;$J$964,$J$964,D969)</f>
        <v>0</v>
      </c>
      <c r="F969" s="726">
        <f t="shared" si="88"/>
        <v>0</v>
      </c>
      <c r="G969" s="673">
        <f t="shared" si="89"/>
        <v>0</v>
      </c>
      <c r="H969" s="721">
        <f>+J962*G969+E969</f>
        <v>0</v>
      </c>
      <c r="I969" s="727">
        <f>+J963*G969+E969</f>
        <v>0</v>
      </c>
      <c r="J969" s="724">
        <f t="shared" si="90"/>
        <v>0</v>
      </c>
      <c r="K969" s="724"/>
      <c r="L969" s="728">
        <v>174005</v>
      </c>
      <c r="M969" s="724">
        <f t="shared" si="91"/>
        <v>-174005</v>
      </c>
      <c r="N969" s="728">
        <v>174005</v>
      </c>
      <c r="O969" s="724">
        <f t="shared" si="92"/>
        <v>-174005</v>
      </c>
      <c r="P969" s="724">
        <f t="shared" si="93"/>
        <v>0</v>
      </c>
      <c r="Q969" s="674"/>
    </row>
    <row r="970" spans="1:17">
      <c r="B970" s="330"/>
      <c r="C970" s="720">
        <f>IF(D961="","-",+C969+1)</f>
        <v>2017</v>
      </c>
      <c r="D970" s="673">
        <f t="shared" si="94"/>
        <v>0</v>
      </c>
      <c r="E970" s="726">
        <f t="shared" si="95"/>
        <v>0</v>
      </c>
      <c r="F970" s="726">
        <f t="shared" si="88"/>
        <v>0</v>
      </c>
      <c r="G970" s="673">
        <f t="shared" si="89"/>
        <v>0</v>
      </c>
      <c r="H970" s="721">
        <f>+J962*G970+E970</f>
        <v>0</v>
      </c>
      <c r="I970" s="727">
        <f>+J963*G970+E970</f>
        <v>0</v>
      </c>
      <c r="J970" s="724">
        <f t="shared" si="90"/>
        <v>0</v>
      </c>
      <c r="K970" s="724"/>
      <c r="L970" s="728">
        <v>176014</v>
      </c>
      <c r="M970" s="724">
        <f t="shared" si="91"/>
        <v>-176014</v>
      </c>
      <c r="N970" s="728">
        <v>176014</v>
      </c>
      <c r="O970" s="724">
        <f t="shared" si="92"/>
        <v>-176014</v>
      </c>
      <c r="P970" s="724">
        <f t="shared" si="93"/>
        <v>0</v>
      </c>
      <c r="Q970" s="674"/>
    </row>
    <row r="971" spans="1:17">
      <c r="B971" s="330"/>
      <c r="C971" s="720">
        <f>IF(D961="","-",+C970+1)</f>
        <v>2018</v>
      </c>
      <c r="D971" s="1455">
        <f t="shared" si="94"/>
        <v>0</v>
      </c>
      <c r="E971" s="726">
        <f t="shared" si="95"/>
        <v>0</v>
      </c>
      <c r="F971" s="726">
        <f t="shared" si="88"/>
        <v>0</v>
      </c>
      <c r="G971" s="673">
        <f t="shared" si="89"/>
        <v>0</v>
      </c>
      <c r="H971" s="721">
        <f>+J962*G971+E971</f>
        <v>0</v>
      </c>
      <c r="I971" s="727">
        <f>+J963*G971+E971</f>
        <v>0</v>
      </c>
      <c r="J971" s="724">
        <f t="shared" si="90"/>
        <v>0</v>
      </c>
      <c r="K971" s="724"/>
      <c r="L971" s="728">
        <v>137768</v>
      </c>
      <c r="M971" s="724">
        <f t="shared" si="91"/>
        <v>-137768</v>
      </c>
      <c r="N971" s="728">
        <v>137768</v>
      </c>
      <c r="O971" s="724">
        <f t="shared" si="92"/>
        <v>-137768</v>
      </c>
      <c r="P971" s="724">
        <f t="shared" si="93"/>
        <v>0</v>
      </c>
      <c r="Q971" s="674"/>
    </row>
    <row r="972" spans="1:17">
      <c r="B972" s="330"/>
      <c r="C972" s="720">
        <f>IF(D961="","-",+C971+1)</f>
        <v>2019</v>
      </c>
      <c r="D972" s="1269">
        <f t="shared" si="94"/>
        <v>0</v>
      </c>
      <c r="E972" s="726">
        <f t="shared" si="95"/>
        <v>0</v>
      </c>
      <c r="F972" s="726">
        <f t="shared" si="88"/>
        <v>0</v>
      </c>
      <c r="G972" s="673">
        <f t="shared" si="89"/>
        <v>0</v>
      </c>
      <c r="H972" s="721">
        <f>+J962*G972+E972</f>
        <v>0</v>
      </c>
      <c r="I972" s="727">
        <f>+J963*G972+E972</f>
        <v>0</v>
      </c>
      <c r="J972" s="724">
        <f t="shared" si="90"/>
        <v>0</v>
      </c>
      <c r="K972" s="724"/>
      <c r="L972" s="728">
        <v>0</v>
      </c>
      <c r="M972" s="724">
        <f t="shared" si="91"/>
        <v>0</v>
      </c>
      <c r="N972" s="728">
        <v>0</v>
      </c>
      <c r="O972" s="724">
        <f t="shared" si="92"/>
        <v>0</v>
      </c>
      <c r="P972" s="724">
        <f t="shared" si="93"/>
        <v>0</v>
      </c>
      <c r="Q972" s="674"/>
    </row>
    <row r="973" spans="1:17">
      <c r="B973" s="330"/>
      <c r="C973" s="720">
        <f>IF(D961="","-",+C972+1)</f>
        <v>2020</v>
      </c>
      <c r="D973" s="1269">
        <f t="shared" si="94"/>
        <v>0</v>
      </c>
      <c r="E973" s="726">
        <f t="shared" si="95"/>
        <v>0</v>
      </c>
      <c r="F973" s="726">
        <f t="shared" si="88"/>
        <v>0</v>
      </c>
      <c r="G973" s="673">
        <f t="shared" si="89"/>
        <v>0</v>
      </c>
      <c r="H973" s="721">
        <f>+J962*G973+E973</f>
        <v>0</v>
      </c>
      <c r="I973" s="727">
        <f>+J963*G973+E973</f>
        <v>0</v>
      </c>
      <c r="J973" s="724">
        <f t="shared" si="90"/>
        <v>0</v>
      </c>
      <c r="K973" s="724"/>
      <c r="L973" s="728">
        <v>0</v>
      </c>
      <c r="M973" s="724">
        <f t="shared" si="91"/>
        <v>0</v>
      </c>
      <c r="N973" s="728">
        <v>0</v>
      </c>
      <c r="O973" s="724">
        <f t="shared" si="92"/>
        <v>0</v>
      </c>
      <c r="P973" s="724">
        <f t="shared" si="93"/>
        <v>0</v>
      </c>
      <c r="Q973" s="674"/>
    </row>
    <row r="974" spans="1:17">
      <c r="B974" s="330"/>
      <c r="C974" s="720">
        <f>IF(D961="","-",+C973+1)</f>
        <v>2021</v>
      </c>
      <c r="D974" s="673">
        <f t="shared" si="94"/>
        <v>0</v>
      </c>
      <c r="E974" s="726">
        <f t="shared" si="95"/>
        <v>0</v>
      </c>
      <c r="F974" s="726">
        <f t="shared" si="88"/>
        <v>0</v>
      </c>
      <c r="G974" s="673">
        <f t="shared" si="89"/>
        <v>0</v>
      </c>
      <c r="H974" s="721">
        <f>+J962*G974+E974</f>
        <v>0</v>
      </c>
      <c r="I974" s="727">
        <f>+J963*G974+E974</f>
        <v>0</v>
      </c>
      <c r="J974" s="724">
        <f t="shared" si="90"/>
        <v>0</v>
      </c>
      <c r="K974" s="724"/>
      <c r="L974" s="728">
        <v>0</v>
      </c>
      <c r="M974" s="724">
        <f t="shared" si="91"/>
        <v>0</v>
      </c>
      <c r="N974" s="728">
        <v>0</v>
      </c>
      <c r="O974" s="724">
        <f t="shared" si="92"/>
        <v>0</v>
      </c>
      <c r="P974" s="724">
        <f t="shared" si="93"/>
        <v>0</v>
      </c>
      <c r="Q974" s="674"/>
    </row>
    <row r="975" spans="1:17">
      <c r="B975" s="330"/>
      <c r="C975" s="720">
        <f>IF(D961="","-",+C974+1)</f>
        <v>2022</v>
      </c>
      <c r="D975" s="673">
        <f t="shared" si="94"/>
        <v>0</v>
      </c>
      <c r="E975" s="726">
        <f t="shared" si="95"/>
        <v>0</v>
      </c>
      <c r="F975" s="726">
        <f t="shared" si="88"/>
        <v>0</v>
      </c>
      <c r="G975" s="673">
        <f t="shared" si="89"/>
        <v>0</v>
      </c>
      <c r="H975" s="721">
        <f>+J962*G975+E975</f>
        <v>0</v>
      </c>
      <c r="I975" s="727">
        <f>+J963*G975+E975</f>
        <v>0</v>
      </c>
      <c r="J975" s="724">
        <f t="shared" si="90"/>
        <v>0</v>
      </c>
      <c r="K975" s="724"/>
      <c r="L975" s="728">
        <v>0</v>
      </c>
      <c r="M975" s="724">
        <f t="shared" si="91"/>
        <v>0</v>
      </c>
      <c r="N975" s="728">
        <v>0</v>
      </c>
      <c r="O975" s="724">
        <f t="shared" si="92"/>
        <v>0</v>
      </c>
      <c r="P975" s="724">
        <f t="shared" si="93"/>
        <v>0</v>
      </c>
      <c r="Q975" s="674"/>
    </row>
    <row r="976" spans="1:17">
      <c r="B976" s="330"/>
      <c r="C976" s="1291">
        <f>IF(D961="","-",+C975+1)</f>
        <v>2023</v>
      </c>
      <c r="D976" s="673">
        <f t="shared" si="94"/>
        <v>0</v>
      </c>
      <c r="E976" s="726">
        <f t="shared" si="95"/>
        <v>0</v>
      </c>
      <c r="F976" s="726">
        <f t="shared" si="88"/>
        <v>0</v>
      </c>
      <c r="G976" s="673">
        <f t="shared" si="89"/>
        <v>0</v>
      </c>
      <c r="H976" s="721">
        <f>+J962*G976+E976</f>
        <v>0</v>
      </c>
      <c r="I976" s="727">
        <f>+J963*G976+E976</f>
        <v>0</v>
      </c>
      <c r="J976" s="724">
        <f t="shared" si="90"/>
        <v>0</v>
      </c>
      <c r="K976" s="724"/>
      <c r="L976" s="728">
        <v>0</v>
      </c>
      <c r="M976" s="724">
        <f t="shared" si="91"/>
        <v>0</v>
      </c>
      <c r="N976" s="728">
        <v>0</v>
      </c>
      <c r="O976" s="724">
        <f t="shared" si="92"/>
        <v>0</v>
      </c>
      <c r="P976" s="724">
        <f t="shared" si="93"/>
        <v>0</v>
      </c>
      <c r="Q976" s="674"/>
    </row>
    <row r="977" spans="2:17">
      <c r="B977" s="330"/>
      <c r="C977" s="720">
        <f>IF(D961="","-",+C976+1)</f>
        <v>2024</v>
      </c>
      <c r="D977" s="673">
        <f t="shared" si="94"/>
        <v>0</v>
      </c>
      <c r="E977" s="726">
        <f t="shared" si="95"/>
        <v>0</v>
      </c>
      <c r="F977" s="726">
        <f t="shared" si="88"/>
        <v>0</v>
      </c>
      <c r="G977" s="673">
        <f t="shared" si="89"/>
        <v>0</v>
      </c>
      <c r="H977" s="721">
        <f>+J962*G977+E977</f>
        <v>0</v>
      </c>
      <c r="I977" s="727">
        <f>+J963*G977+E977</f>
        <v>0</v>
      </c>
      <c r="J977" s="724">
        <f t="shared" si="90"/>
        <v>0</v>
      </c>
      <c r="K977" s="724"/>
      <c r="L977" s="728"/>
      <c r="M977" s="724">
        <f t="shared" si="91"/>
        <v>0</v>
      </c>
      <c r="N977" s="728"/>
      <c r="O977" s="724">
        <f t="shared" si="92"/>
        <v>0</v>
      </c>
      <c r="P977" s="724">
        <f t="shared" si="93"/>
        <v>0</v>
      </c>
      <c r="Q977" s="674"/>
    </row>
    <row r="978" spans="2:17">
      <c r="B978" s="330"/>
      <c r="C978" s="720">
        <f>IF(D961="","-",+C977+1)</f>
        <v>2025</v>
      </c>
      <c r="D978" s="673">
        <f t="shared" si="94"/>
        <v>0</v>
      </c>
      <c r="E978" s="726">
        <f t="shared" si="95"/>
        <v>0</v>
      </c>
      <c r="F978" s="726">
        <f t="shared" si="88"/>
        <v>0</v>
      </c>
      <c r="G978" s="673">
        <f t="shared" si="89"/>
        <v>0</v>
      </c>
      <c r="H978" s="721">
        <f>+J962*G978+E978</f>
        <v>0</v>
      </c>
      <c r="I978" s="727">
        <f>+J963*G978+E978</f>
        <v>0</v>
      </c>
      <c r="J978" s="724">
        <f t="shared" si="90"/>
        <v>0</v>
      </c>
      <c r="K978" s="724"/>
      <c r="L978" s="728"/>
      <c r="M978" s="724">
        <f t="shared" si="91"/>
        <v>0</v>
      </c>
      <c r="N978" s="728"/>
      <c r="O978" s="724">
        <f t="shared" si="92"/>
        <v>0</v>
      </c>
      <c r="P978" s="724">
        <f t="shared" si="93"/>
        <v>0</v>
      </c>
      <c r="Q978" s="674"/>
    </row>
    <row r="979" spans="2:17">
      <c r="B979" s="330"/>
      <c r="C979" s="720">
        <f>IF(D961="","-",+C978+1)</f>
        <v>2026</v>
      </c>
      <c r="D979" s="673">
        <f t="shared" si="94"/>
        <v>0</v>
      </c>
      <c r="E979" s="726">
        <f t="shared" si="95"/>
        <v>0</v>
      </c>
      <c r="F979" s="726">
        <f t="shared" si="88"/>
        <v>0</v>
      </c>
      <c r="G979" s="673">
        <f t="shared" si="89"/>
        <v>0</v>
      </c>
      <c r="H979" s="721">
        <f>+J962*G979+E979</f>
        <v>0</v>
      </c>
      <c r="I979" s="727">
        <f>+J963*G979+E979</f>
        <v>0</v>
      </c>
      <c r="J979" s="724">
        <f t="shared" si="90"/>
        <v>0</v>
      </c>
      <c r="K979" s="724"/>
      <c r="L979" s="728"/>
      <c r="M979" s="724">
        <f t="shared" si="91"/>
        <v>0</v>
      </c>
      <c r="N979" s="728"/>
      <c r="O979" s="724">
        <f t="shared" si="92"/>
        <v>0</v>
      </c>
      <c r="P979" s="724">
        <f t="shared" si="93"/>
        <v>0</v>
      </c>
      <c r="Q979" s="674"/>
    </row>
    <row r="980" spans="2:17">
      <c r="B980" s="330"/>
      <c r="C980" s="720">
        <f>IF(D961="","-",+C979+1)</f>
        <v>2027</v>
      </c>
      <c r="D980" s="673">
        <f t="shared" si="94"/>
        <v>0</v>
      </c>
      <c r="E980" s="726">
        <f t="shared" si="95"/>
        <v>0</v>
      </c>
      <c r="F980" s="726">
        <f t="shared" si="88"/>
        <v>0</v>
      </c>
      <c r="G980" s="673">
        <f t="shared" si="89"/>
        <v>0</v>
      </c>
      <c r="H980" s="721">
        <f>+J962*G980+E980</f>
        <v>0</v>
      </c>
      <c r="I980" s="727">
        <f>+J963*G980+E980</f>
        <v>0</v>
      </c>
      <c r="J980" s="724">
        <f t="shared" si="90"/>
        <v>0</v>
      </c>
      <c r="K980" s="724"/>
      <c r="L980" s="728"/>
      <c r="M980" s="724">
        <f t="shared" si="91"/>
        <v>0</v>
      </c>
      <c r="N980" s="728"/>
      <c r="O980" s="724">
        <f t="shared" si="92"/>
        <v>0</v>
      </c>
      <c r="P980" s="724">
        <f t="shared" si="93"/>
        <v>0</v>
      </c>
      <c r="Q980" s="674"/>
    </row>
    <row r="981" spans="2:17">
      <c r="B981" s="330"/>
      <c r="C981" s="720">
        <f>IF(D961="","-",+C980+1)</f>
        <v>2028</v>
      </c>
      <c r="D981" s="673">
        <f t="shared" si="94"/>
        <v>0</v>
      </c>
      <c r="E981" s="726">
        <f t="shared" si="95"/>
        <v>0</v>
      </c>
      <c r="F981" s="726">
        <f t="shared" si="88"/>
        <v>0</v>
      </c>
      <c r="G981" s="673">
        <f t="shared" si="89"/>
        <v>0</v>
      </c>
      <c r="H981" s="721">
        <f>+J962*G981+E981</f>
        <v>0</v>
      </c>
      <c r="I981" s="727">
        <f>+J963*G981+E981</f>
        <v>0</v>
      </c>
      <c r="J981" s="724">
        <f t="shared" si="90"/>
        <v>0</v>
      </c>
      <c r="K981" s="724"/>
      <c r="L981" s="728"/>
      <c r="M981" s="724">
        <f t="shared" si="91"/>
        <v>0</v>
      </c>
      <c r="N981" s="728"/>
      <c r="O981" s="724">
        <f t="shared" si="92"/>
        <v>0</v>
      </c>
      <c r="P981" s="724">
        <f t="shared" si="93"/>
        <v>0</v>
      </c>
      <c r="Q981" s="674"/>
    </row>
    <row r="982" spans="2:17">
      <c r="B982" s="330"/>
      <c r="C982" s="720">
        <f>IF(D961="","-",+C981+1)</f>
        <v>2029</v>
      </c>
      <c r="D982" s="673">
        <f t="shared" si="94"/>
        <v>0</v>
      </c>
      <c r="E982" s="726">
        <f t="shared" si="95"/>
        <v>0</v>
      </c>
      <c r="F982" s="726">
        <f t="shared" si="88"/>
        <v>0</v>
      </c>
      <c r="G982" s="673">
        <f t="shared" si="89"/>
        <v>0</v>
      </c>
      <c r="H982" s="721">
        <f>+J962*G982+E982</f>
        <v>0</v>
      </c>
      <c r="I982" s="727">
        <f>+J963*G982+E982</f>
        <v>0</v>
      </c>
      <c r="J982" s="724">
        <f t="shared" si="90"/>
        <v>0</v>
      </c>
      <c r="K982" s="724"/>
      <c r="L982" s="728"/>
      <c r="M982" s="724">
        <f t="shared" si="91"/>
        <v>0</v>
      </c>
      <c r="N982" s="728"/>
      <c r="O982" s="724">
        <f t="shared" si="92"/>
        <v>0</v>
      </c>
      <c r="P982" s="724">
        <f t="shared" si="93"/>
        <v>0</v>
      </c>
      <c r="Q982" s="674"/>
    </row>
    <row r="983" spans="2:17">
      <c r="B983" s="330"/>
      <c r="C983" s="720">
        <f>IF(D961="","-",+C982+1)</f>
        <v>2030</v>
      </c>
      <c r="D983" s="673">
        <f t="shared" si="94"/>
        <v>0</v>
      </c>
      <c r="E983" s="726">
        <f t="shared" si="95"/>
        <v>0</v>
      </c>
      <c r="F983" s="726">
        <f t="shared" si="88"/>
        <v>0</v>
      </c>
      <c r="G983" s="673">
        <f t="shared" si="89"/>
        <v>0</v>
      </c>
      <c r="H983" s="721">
        <f>+J962*G983+E983</f>
        <v>0</v>
      </c>
      <c r="I983" s="727">
        <f>+J963*G983+E983</f>
        <v>0</v>
      </c>
      <c r="J983" s="724">
        <f t="shared" si="90"/>
        <v>0</v>
      </c>
      <c r="K983" s="724"/>
      <c r="L983" s="728"/>
      <c r="M983" s="724">
        <f t="shared" si="91"/>
        <v>0</v>
      </c>
      <c r="N983" s="728"/>
      <c r="O983" s="724">
        <f t="shared" si="92"/>
        <v>0</v>
      </c>
      <c r="P983" s="724">
        <f t="shared" si="93"/>
        <v>0</v>
      </c>
      <c r="Q983" s="674"/>
    </row>
    <row r="984" spans="2:17">
      <c r="B984" s="330"/>
      <c r="C984" s="720">
        <f>IF(D961="","-",+C983+1)</f>
        <v>2031</v>
      </c>
      <c r="D984" s="673">
        <f t="shared" si="94"/>
        <v>0</v>
      </c>
      <c r="E984" s="726">
        <f t="shared" si="95"/>
        <v>0</v>
      </c>
      <c r="F984" s="726">
        <f t="shared" si="88"/>
        <v>0</v>
      </c>
      <c r="G984" s="673">
        <f t="shared" si="89"/>
        <v>0</v>
      </c>
      <c r="H984" s="721">
        <f>+J962*G984+E984</f>
        <v>0</v>
      </c>
      <c r="I984" s="727">
        <f>+J963*G984+E984</f>
        <v>0</v>
      </c>
      <c r="J984" s="724">
        <f t="shared" si="90"/>
        <v>0</v>
      </c>
      <c r="K984" s="724"/>
      <c r="L984" s="728"/>
      <c r="M984" s="724">
        <f t="shared" si="91"/>
        <v>0</v>
      </c>
      <c r="N984" s="728"/>
      <c r="O984" s="724">
        <f t="shared" si="92"/>
        <v>0</v>
      </c>
      <c r="P984" s="724">
        <f t="shared" si="93"/>
        <v>0</v>
      </c>
      <c r="Q984" s="674"/>
    </row>
    <row r="985" spans="2:17">
      <c r="B985" s="330"/>
      <c r="C985" s="720">
        <f>IF(D961="","-",+C984+1)</f>
        <v>2032</v>
      </c>
      <c r="D985" s="673">
        <f t="shared" si="94"/>
        <v>0</v>
      </c>
      <c r="E985" s="726">
        <f t="shared" si="95"/>
        <v>0</v>
      </c>
      <c r="F985" s="726">
        <f t="shared" si="88"/>
        <v>0</v>
      </c>
      <c r="G985" s="673">
        <f t="shared" si="89"/>
        <v>0</v>
      </c>
      <c r="H985" s="721">
        <f>+J962*G985+E985</f>
        <v>0</v>
      </c>
      <c r="I985" s="727">
        <f>+J963*G985+E985</f>
        <v>0</v>
      </c>
      <c r="J985" s="724">
        <f t="shared" si="90"/>
        <v>0</v>
      </c>
      <c r="K985" s="724"/>
      <c r="L985" s="728"/>
      <c r="M985" s="724">
        <f t="shared" si="91"/>
        <v>0</v>
      </c>
      <c r="N985" s="728"/>
      <c r="O985" s="724">
        <f t="shared" si="92"/>
        <v>0</v>
      </c>
      <c r="P985" s="724">
        <f t="shared" si="93"/>
        <v>0</v>
      </c>
      <c r="Q985" s="674"/>
    </row>
    <row r="986" spans="2:17">
      <c r="B986" s="330"/>
      <c r="C986" s="720">
        <f>IF(D961="","-",+C985+1)</f>
        <v>2033</v>
      </c>
      <c r="D986" s="673">
        <f t="shared" si="94"/>
        <v>0</v>
      </c>
      <c r="E986" s="726">
        <f t="shared" si="95"/>
        <v>0</v>
      </c>
      <c r="F986" s="726">
        <f t="shared" si="88"/>
        <v>0</v>
      </c>
      <c r="G986" s="673">
        <f t="shared" si="89"/>
        <v>0</v>
      </c>
      <c r="H986" s="721">
        <f>+J962*G986+E986</f>
        <v>0</v>
      </c>
      <c r="I986" s="727">
        <f>+J963*G986+E986</f>
        <v>0</v>
      </c>
      <c r="J986" s="724">
        <f t="shared" si="90"/>
        <v>0</v>
      </c>
      <c r="K986" s="724"/>
      <c r="L986" s="728"/>
      <c r="M986" s="724">
        <f t="shared" si="91"/>
        <v>0</v>
      </c>
      <c r="N986" s="728"/>
      <c r="O986" s="724">
        <f t="shared" si="92"/>
        <v>0</v>
      </c>
      <c r="P986" s="724">
        <f t="shared" si="93"/>
        <v>0</v>
      </c>
      <c r="Q986" s="674"/>
    </row>
    <row r="987" spans="2:17">
      <c r="B987" s="330"/>
      <c r="C987" s="720">
        <f>IF(D961="","-",+C986+1)</f>
        <v>2034</v>
      </c>
      <c r="D987" s="673">
        <f t="shared" si="94"/>
        <v>0</v>
      </c>
      <c r="E987" s="726">
        <f t="shared" si="95"/>
        <v>0</v>
      </c>
      <c r="F987" s="726">
        <f t="shared" si="88"/>
        <v>0</v>
      </c>
      <c r="G987" s="673">
        <f t="shared" si="89"/>
        <v>0</v>
      </c>
      <c r="H987" s="721">
        <f>+J962*G987+E987</f>
        <v>0</v>
      </c>
      <c r="I987" s="727">
        <f>+J963*G987+E987</f>
        <v>0</v>
      </c>
      <c r="J987" s="724">
        <f t="shared" si="90"/>
        <v>0</v>
      </c>
      <c r="K987" s="724"/>
      <c r="L987" s="728"/>
      <c r="M987" s="724">
        <f t="shared" si="91"/>
        <v>0</v>
      </c>
      <c r="N987" s="728"/>
      <c r="O987" s="724">
        <f t="shared" si="92"/>
        <v>0</v>
      </c>
      <c r="P987" s="724">
        <f t="shared" si="93"/>
        <v>0</v>
      </c>
      <c r="Q987" s="674"/>
    </row>
    <row r="988" spans="2:17">
      <c r="B988" s="330"/>
      <c r="C988" s="720">
        <f>IF(D961="","-",+C987+1)</f>
        <v>2035</v>
      </c>
      <c r="D988" s="673">
        <f t="shared" si="94"/>
        <v>0</v>
      </c>
      <c r="E988" s="726">
        <f t="shared" si="95"/>
        <v>0</v>
      </c>
      <c r="F988" s="726">
        <f t="shared" si="88"/>
        <v>0</v>
      </c>
      <c r="G988" s="673">
        <f t="shared" si="89"/>
        <v>0</v>
      </c>
      <c r="H988" s="721">
        <f>+J962*G988+E988</f>
        <v>0</v>
      </c>
      <c r="I988" s="727">
        <f>+J963*G988+E988</f>
        <v>0</v>
      </c>
      <c r="J988" s="724">
        <f t="shared" si="90"/>
        <v>0</v>
      </c>
      <c r="K988" s="724"/>
      <c r="L988" s="728"/>
      <c r="M988" s="724">
        <f t="shared" si="91"/>
        <v>0</v>
      </c>
      <c r="N988" s="728"/>
      <c r="O988" s="724">
        <f t="shared" si="92"/>
        <v>0</v>
      </c>
      <c r="P988" s="724">
        <f t="shared" si="93"/>
        <v>0</v>
      </c>
      <c r="Q988" s="674"/>
    </row>
    <row r="989" spans="2:17">
      <c r="B989" s="330"/>
      <c r="C989" s="720">
        <f>IF(D961="","-",+C988+1)</f>
        <v>2036</v>
      </c>
      <c r="D989" s="673">
        <f t="shared" si="94"/>
        <v>0</v>
      </c>
      <c r="E989" s="726">
        <f t="shared" si="95"/>
        <v>0</v>
      </c>
      <c r="F989" s="726">
        <f t="shared" si="88"/>
        <v>0</v>
      </c>
      <c r="G989" s="673">
        <f t="shared" si="89"/>
        <v>0</v>
      </c>
      <c r="H989" s="721">
        <f>+J962*G989+E989</f>
        <v>0</v>
      </c>
      <c r="I989" s="727">
        <f>+J963*G989+E989</f>
        <v>0</v>
      </c>
      <c r="J989" s="724">
        <f t="shared" si="90"/>
        <v>0</v>
      </c>
      <c r="K989" s="724"/>
      <c r="L989" s="728"/>
      <c r="M989" s="724">
        <f t="shared" si="91"/>
        <v>0</v>
      </c>
      <c r="N989" s="728"/>
      <c r="O989" s="724">
        <f t="shared" si="92"/>
        <v>0</v>
      </c>
      <c r="P989" s="724">
        <f t="shared" si="93"/>
        <v>0</v>
      </c>
      <c r="Q989" s="674"/>
    </row>
    <row r="990" spans="2:17">
      <c r="B990" s="330"/>
      <c r="C990" s="720">
        <f>IF(D961="","-",+C989+1)</f>
        <v>2037</v>
      </c>
      <c r="D990" s="673">
        <f t="shared" si="94"/>
        <v>0</v>
      </c>
      <c r="E990" s="726">
        <f t="shared" si="95"/>
        <v>0</v>
      </c>
      <c r="F990" s="726">
        <f t="shared" si="88"/>
        <v>0</v>
      </c>
      <c r="G990" s="673">
        <f t="shared" si="89"/>
        <v>0</v>
      </c>
      <c r="H990" s="721">
        <f>+J962*G990+E990</f>
        <v>0</v>
      </c>
      <c r="I990" s="727">
        <f>+J963*G990+E990</f>
        <v>0</v>
      </c>
      <c r="J990" s="724">
        <f t="shared" si="90"/>
        <v>0</v>
      </c>
      <c r="K990" s="724"/>
      <c r="L990" s="728"/>
      <c r="M990" s="724">
        <f t="shared" si="91"/>
        <v>0</v>
      </c>
      <c r="N990" s="728"/>
      <c r="O990" s="724">
        <f t="shared" si="92"/>
        <v>0</v>
      </c>
      <c r="P990" s="724">
        <f t="shared" si="93"/>
        <v>0</v>
      </c>
      <c r="Q990" s="674"/>
    </row>
    <row r="991" spans="2:17">
      <c r="B991" s="330"/>
      <c r="C991" s="720">
        <f>IF(D961="","-",+C990+1)</f>
        <v>2038</v>
      </c>
      <c r="D991" s="673">
        <f t="shared" si="94"/>
        <v>0</v>
      </c>
      <c r="E991" s="726">
        <f t="shared" si="95"/>
        <v>0</v>
      </c>
      <c r="F991" s="726">
        <f t="shared" si="88"/>
        <v>0</v>
      </c>
      <c r="G991" s="673">
        <f t="shared" si="89"/>
        <v>0</v>
      </c>
      <c r="H991" s="721">
        <f>+J962*G991+E991</f>
        <v>0</v>
      </c>
      <c r="I991" s="727">
        <f>+J963*G991+E991</f>
        <v>0</v>
      </c>
      <c r="J991" s="724">
        <f t="shared" si="90"/>
        <v>0</v>
      </c>
      <c r="K991" s="724"/>
      <c r="L991" s="728"/>
      <c r="M991" s="724">
        <f t="shared" si="91"/>
        <v>0</v>
      </c>
      <c r="N991" s="728"/>
      <c r="O991" s="724">
        <f t="shared" si="92"/>
        <v>0</v>
      </c>
      <c r="P991" s="724">
        <f t="shared" si="93"/>
        <v>0</v>
      </c>
      <c r="Q991" s="674"/>
    </row>
    <row r="992" spans="2:17">
      <c r="B992" s="330"/>
      <c r="C992" s="720">
        <f>IF(D961="","-",+C991+1)</f>
        <v>2039</v>
      </c>
      <c r="D992" s="673">
        <f t="shared" si="94"/>
        <v>0</v>
      </c>
      <c r="E992" s="726">
        <f t="shared" si="95"/>
        <v>0</v>
      </c>
      <c r="F992" s="726">
        <f t="shared" si="88"/>
        <v>0</v>
      </c>
      <c r="G992" s="673">
        <f t="shared" si="89"/>
        <v>0</v>
      </c>
      <c r="H992" s="721">
        <f>+J962*G992+E992</f>
        <v>0</v>
      </c>
      <c r="I992" s="727">
        <f>+J963*G992+E992</f>
        <v>0</v>
      </c>
      <c r="J992" s="724">
        <f t="shared" si="90"/>
        <v>0</v>
      </c>
      <c r="K992" s="724"/>
      <c r="L992" s="728"/>
      <c r="M992" s="724">
        <f t="shared" si="91"/>
        <v>0</v>
      </c>
      <c r="N992" s="728"/>
      <c r="O992" s="724">
        <f t="shared" si="92"/>
        <v>0</v>
      </c>
      <c r="P992" s="724">
        <f t="shared" si="93"/>
        <v>0</v>
      </c>
      <c r="Q992" s="674"/>
    </row>
    <row r="993" spans="2:17">
      <c r="B993" s="330"/>
      <c r="C993" s="720">
        <f>IF(D961="","-",+C992+1)</f>
        <v>2040</v>
      </c>
      <c r="D993" s="673">
        <f t="shared" si="94"/>
        <v>0</v>
      </c>
      <c r="E993" s="726">
        <f t="shared" si="95"/>
        <v>0</v>
      </c>
      <c r="F993" s="726">
        <f t="shared" si="88"/>
        <v>0</v>
      </c>
      <c r="G993" s="673">
        <f t="shared" si="89"/>
        <v>0</v>
      </c>
      <c r="H993" s="721">
        <f>+J962*G993+E993</f>
        <v>0</v>
      </c>
      <c r="I993" s="727">
        <f>+J963*G993+E993</f>
        <v>0</v>
      </c>
      <c r="J993" s="724">
        <f t="shared" si="90"/>
        <v>0</v>
      </c>
      <c r="K993" s="724"/>
      <c r="L993" s="728"/>
      <c r="M993" s="724">
        <f t="shared" si="91"/>
        <v>0</v>
      </c>
      <c r="N993" s="728"/>
      <c r="O993" s="724">
        <f t="shared" si="92"/>
        <v>0</v>
      </c>
      <c r="P993" s="724">
        <f t="shared" si="93"/>
        <v>0</v>
      </c>
      <c r="Q993" s="674"/>
    </row>
    <row r="994" spans="2:17">
      <c r="B994" s="330"/>
      <c r="C994" s="720">
        <f>IF(D961="","-",+C993+1)</f>
        <v>2041</v>
      </c>
      <c r="D994" s="673">
        <f t="shared" si="94"/>
        <v>0</v>
      </c>
      <c r="E994" s="726">
        <f t="shared" si="95"/>
        <v>0</v>
      </c>
      <c r="F994" s="726">
        <f t="shared" si="88"/>
        <v>0</v>
      </c>
      <c r="G994" s="673">
        <f t="shared" si="89"/>
        <v>0</v>
      </c>
      <c r="H994" s="721">
        <f>+J962*G994+E994</f>
        <v>0</v>
      </c>
      <c r="I994" s="727">
        <f>+J963*G994+E994</f>
        <v>0</v>
      </c>
      <c r="J994" s="724">
        <f t="shared" si="90"/>
        <v>0</v>
      </c>
      <c r="K994" s="724"/>
      <c r="L994" s="728"/>
      <c r="M994" s="724">
        <f t="shared" si="91"/>
        <v>0</v>
      </c>
      <c r="N994" s="728"/>
      <c r="O994" s="724">
        <f t="shared" si="92"/>
        <v>0</v>
      </c>
      <c r="P994" s="724">
        <f t="shared" si="93"/>
        <v>0</v>
      </c>
      <c r="Q994" s="674"/>
    </row>
    <row r="995" spans="2:17">
      <c r="B995" s="330"/>
      <c r="C995" s="720">
        <f>IF(D961="","-",+C994+1)</f>
        <v>2042</v>
      </c>
      <c r="D995" s="673">
        <f t="shared" si="94"/>
        <v>0</v>
      </c>
      <c r="E995" s="726">
        <f t="shared" si="95"/>
        <v>0</v>
      </c>
      <c r="F995" s="726">
        <f t="shared" si="88"/>
        <v>0</v>
      </c>
      <c r="G995" s="673">
        <f t="shared" si="89"/>
        <v>0</v>
      </c>
      <c r="H995" s="721">
        <f>+J962*G995+E995</f>
        <v>0</v>
      </c>
      <c r="I995" s="727">
        <f>+J963*G995+E995</f>
        <v>0</v>
      </c>
      <c r="J995" s="724">
        <f t="shared" si="90"/>
        <v>0</v>
      </c>
      <c r="K995" s="724"/>
      <c r="L995" s="728"/>
      <c r="M995" s="724">
        <f t="shared" si="91"/>
        <v>0</v>
      </c>
      <c r="N995" s="728"/>
      <c r="O995" s="724">
        <f t="shared" si="92"/>
        <v>0</v>
      </c>
      <c r="P995" s="724">
        <f t="shared" si="93"/>
        <v>0</v>
      </c>
      <c r="Q995" s="674"/>
    </row>
    <row r="996" spans="2:17">
      <c r="B996" s="330"/>
      <c r="C996" s="720">
        <f>IF(D961="","-",+C995+1)</f>
        <v>2043</v>
      </c>
      <c r="D996" s="673">
        <f t="shared" si="94"/>
        <v>0</v>
      </c>
      <c r="E996" s="726">
        <f t="shared" si="95"/>
        <v>0</v>
      </c>
      <c r="F996" s="726">
        <f t="shared" si="88"/>
        <v>0</v>
      </c>
      <c r="G996" s="673">
        <f t="shared" si="89"/>
        <v>0</v>
      </c>
      <c r="H996" s="721">
        <f>+J962*G996+E996</f>
        <v>0</v>
      </c>
      <c r="I996" s="727">
        <f>+J963*G996+E996</f>
        <v>0</v>
      </c>
      <c r="J996" s="724">
        <f t="shared" si="90"/>
        <v>0</v>
      </c>
      <c r="K996" s="724"/>
      <c r="L996" s="728"/>
      <c r="M996" s="724">
        <f t="shared" si="91"/>
        <v>0</v>
      </c>
      <c r="N996" s="728"/>
      <c r="O996" s="724">
        <f t="shared" si="92"/>
        <v>0</v>
      </c>
      <c r="P996" s="724">
        <f t="shared" si="93"/>
        <v>0</v>
      </c>
      <c r="Q996" s="674"/>
    </row>
    <row r="997" spans="2:17">
      <c r="B997" s="330"/>
      <c r="C997" s="720">
        <f>IF(D961="","-",+C996+1)</f>
        <v>2044</v>
      </c>
      <c r="D997" s="673">
        <f t="shared" si="94"/>
        <v>0</v>
      </c>
      <c r="E997" s="726">
        <f t="shared" si="95"/>
        <v>0</v>
      </c>
      <c r="F997" s="726">
        <f t="shared" si="88"/>
        <v>0</v>
      </c>
      <c r="G997" s="673">
        <f t="shared" si="89"/>
        <v>0</v>
      </c>
      <c r="H997" s="721">
        <f>+J962*G997+E997</f>
        <v>0</v>
      </c>
      <c r="I997" s="727">
        <f>+J963*G997+E997</f>
        <v>0</v>
      </c>
      <c r="J997" s="724">
        <f t="shared" si="90"/>
        <v>0</v>
      </c>
      <c r="K997" s="724"/>
      <c r="L997" s="728"/>
      <c r="M997" s="724">
        <f t="shared" si="91"/>
        <v>0</v>
      </c>
      <c r="N997" s="728"/>
      <c r="O997" s="724">
        <f t="shared" si="92"/>
        <v>0</v>
      </c>
      <c r="P997" s="724">
        <f t="shared" si="93"/>
        <v>0</v>
      </c>
      <c r="Q997" s="674"/>
    </row>
    <row r="998" spans="2:17">
      <c r="B998" s="330"/>
      <c r="C998" s="720">
        <f>IF(D961="","-",+C997+1)</f>
        <v>2045</v>
      </c>
      <c r="D998" s="673">
        <f t="shared" si="94"/>
        <v>0</v>
      </c>
      <c r="E998" s="726">
        <f t="shared" si="95"/>
        <v>0</v>
      </c>
      <c r="F998" s="726">
        <f t="shared" si="88"/>
        <v>0</v>
      </c>
      <c r="G998" s="673">
        <f t="shared" si="89"/>
        <v>0</v>
      </c>
      <c r="H998" s="721">
        <f>+J962*G998+E998</f>
        <v>0</v>
      </c>
      <c r="I998" s="727">
        <f>+J963*G998+E998</f>
        <v>0</v>
      </c>
      <c r="J998" s="724">
        <f t="shared" si="90"/>
        <v>0</v>
      </c>
      <c r="K998" s="724"/>
      <c r="L998" s="728"/>
      <c r="M998" s="724">
        <f t="shared" si="91"/>
        <v>0</v>
      </c>
      <c r="N998" s="728"/>
      <c r="O998" s="724">
        <f t="shared" si="92"/>
        <v>0</v>
      </c>
      <c r="P998" s="724">
        <f t="shared" si="93"/>
        <v>0</v>
      </c>
      <c r="Q998" s="674"/>
    </row>
    <row r="999" spans="2:17">
      <c r="B999" s="330"/>
      <c r="C999" s="720">
        <f>IF(D961="","-",+C998+1)</f>
        <v>2046</v>
      </c>
      <c r="D999" s="673">
        <f t="shared" si="94"/>
        <v>0</v>
      </c>
      <c r="E999" s="726">
        <f t="shared" si="95"/>
        <v>0</v>
      </c>
      <c r="F999" s="726">
        <f t="shared" si="88"/>
        <v>0</v>
      </c>
      <c r="G999" s="673">
        <f t="shared" si="89"/>
        <v>0</v>
      </c>
      <c r="H999" s="721">
        <f>+J962*G999+E999</f>
        <v>0</v>
      </c>
      <c r="I999" s="727">
        <f>+J963*G999+E999</f>
        <v>0</v>
      </c>
      <c r="J999" s="724">
        <f t="shared" si="90"/>
        <v>0</v>
      </c>
      <c r="K999" s="724"/>
      <c r="L999" s="728"/>
      <c r="M999" s="724">
        <f t="shared" si="91"/>
        <v>0</v>
      </c>
      <c r="N999" s="728"/>
      <c r="O999" s="724">
        <f t="shared" si="92"/>
        <v>0</v>
      </c>
      <c r="P999" s="724">
        <f t="shared" si="93"/>
        <v>0</v>
      </c>
      <c r="Q999" s="674"/>
    </row>
    <row r="1000" spans="2:17">
      <c r="B1000" s="330"/>
      <c r="C1000" s="720">
        <f>IF(D961="","-",+C999+1)</f>
        <v>2047</v>
      </c>
      <c r="D1000" s="673">
        <f t="shared" si="94"/>
        <v>0</v>
      </c>
      <c r="E1000" s="726">
        <f t="shared" si="95"/>
        <v>0</v>
      </c>
      <c r="F1000" s="726">
        <f t="shared" si="88"/>
        <v>0</v>
      </c>
      <c r="G1000" s="673">
        <f t="shared" si="89"/>
        <v>0</v>
      </c>
      <c r="H1000" s="721">
        <f>+J962*G1000+E1000</f>
        <v>0</v>
      </c>
      <c r="I1000" s="727">
        <f>+J963*G1000+E1000</f>
        <v>0</v>
      </c>
      <c r="J1000" s="724">
        <f t="shared" si="90"/>
        <v>0</v>
      </c>
      <c r="K1000" s="724"/>
      <c r="L1000" s="728"/>
      <c r="M1000" s="724">
        <f t="shared" si="91"/>
        <v>0</v>
      </c>
      <c r="N1000" s="728"/>
      <c r="O1000" s="724">
        <f t="shared" si="92"/>
        <v>0</v>
      </c>
      <c r="P1000" s="724">
        <f t="shared" si="93"/>
        <v>0</v>
      </c>
      <c r="Q1000" s="674"/>
    </row>
    <row r="1001" spans="2:17">
      <c r="B1001" s="330"/>
      <c r="C1001" s="720">
        <f>IF(D961="","-",+C1000+1)</f>
        <v>2048</v>
      </c>
      <c r="D1001" s="673">
        <f t="shared" si="94"/>
        <v>0</v>
      </c>
      <c r="E1001" s="726">
        <f t="shared" si="95"/>
        <v>0</v>
      </c>
      <c r="F1001" s="726">
        <f t="shared" si="88"/>
        <v>0</v>
      </c>
      <c r="G1001" s="673">
        <f t="shared" si="89"/>
        <v>0</v>
      </c>
      <c r="H1001" s="721">
        <f>+J962*G1001+E1001</f>
        <v>0</v>
      </c>
      <c r="I1001" s="727">
        <f>+J963*G1001+E1001</f>
        <v>0</v>
      </c>
      <c r="J1001" s="724">
        <f t="shared" si="90"/>
        <v>0</v>
      </c>
      <c r="K1001" s="724"/>
      <c r="L1001" s="728"/>
      <c r="M1001" s="724">
        <f t="shared" si="91"/>
        <v>0</v>
      </c>
      <c r="N1001" s="728"/>
      <c r="O1001" s="724">
        <f t="shared" si="92"/>
        <v>0</v>
      </c>
      <c r="P1001" s="724">
        <f t="shared" si="93"/>
        <v>0</v>
      </c>
      <c r="Q1001" s="674"/>
    </row>
    <row r="1002" spans="2:17">
      <c r="B1002" s="330"/>
      <c r="C1002" s="720">
        <f>IF(D961="","-",+C1001+1)</f>
        <v>2049</v>
      </c>
      <c r="D1002" s="673">
        <f t="shared" si="94"/>
        <v>0</v>
      </c>
      <c r="E1002" s="726">
        <f t="shared" si="95"/>
        <v>0</v>
      </c>
      <c r="F1002" s="726">
        <f t="shared" si="88"/>
        <v>0</v>
      </c>
      <c r="G1002" s="673">
        <f t="shared" si="89"/>
        <v>0</v>
      </c>
      <c r="H1002" s="721">
        <f>+J962*G1002+E1002</f>
        <v>0</v>
      </c>
      <c r="I1002" s="727">
        <f>+J963*G1002+E1002</f>
        <v>0</v>
      </c>
      <c r="J1002" s="724">
        <f t="shared" si="90"/>
        <v>0</v>
      </c>
      <c r="K1002" s="724"/>
      <c r="L1002" s="728"/>
      <c r="M1002" s="724">
        <f t="shared" si="91"/>
        <v>0</v>
      </c>
      <c r="N1002" s="728"/>
      <c r="O1002" s="724">
        <f t="shared" si="92"/>
        <v>0</v>
      </c>
      <c r="P1002" s="724">
        <f t="shared" si="93"/>
        <v>0</v>
      </c>
      <c r="Q1002" s="674"/>
    </row>
    <row r="1003" spans="2:17">
      <c r="B1003" s="330"/>
      <c r="C1003" s="720">
        <f>IF(D961="","-",+C1002+1)</f>
        <v>2050</v>
      </c>
      <c r="D1003" s="673">
        <f t="shared" si="94"/>
        <v>0</v>
      </c>
      <c r="E1003" s="726">
        <f t="shared" si="95"/>
        <v>0</v>
      </c>
      <c r="F1003" s="726">
        <f t="shared" si="88"/>
        <v>0</v>
      </c>
      <c r="G1003" s="673">
        <f t="shared" si="89"/>
        <v>0</v>
      </c>
      <c r="H1003" s="721">
        <f>+J962*G1003+E1003</f>
        <v>0</v>
      </c>
      <c r="I1003" s="727">
        <f>+J963*G1003+E1003</f>
        <v>0</v>
      </c>
      <c r="J1003" s="724">
        <f t="shared" si="90"/>
        <v>0</v>
      </c>
      <c r="K1003" s="724"/>
      <c r="L1003" s="728"/>
      <c r="M1003" s="724">
        <f t="shared" si="91"/>
        <v>0</v>
      </c>
      <c r="N1003" s="728"/>
      <c r="O1003" s="724">
        <f t="shared" si="92"/>
        <v>0</v>
      </c>
      <c r="P1003" s="724">
        <f t="shared" si="93"/>
        <v>0</v>
      </c>
      <c r="Q1003" s="674"/>
    </row>
    <row r="1004" spans="2:17">
      <c r="B1004" s="330"/>
      <c r="C1004" s="720">
        <f>IF(D961="","-",+C1003+1)</f>
        <v>2051</v>
      </c>
      <c r="D1004" s="673">
        <f t="shared" si="94"/>
        <v>0</v>
      </c>
      <c r="E1004" s="726">
        <f t="shared" si="95"/>
        <v>0</v>
      </c>
      <c r="F1004" s="726">
        <f t="shared" si="88"/>
        <v>0</v>
      </c>
      <c r="G1004" s="673">
        <f t="shared" si="89"/>
        <v>0</v>
      </c>
      <c r="H1004" s="721">
        <f>+J962*G1004+E1004</f>
        <v>0</v>
      </c>
      <c r="I1004" s="727">
        <f>+J963*G1004+E1004</f>
        <v>0</v>
      </c>
      <c r="J1004" s="724">
        <f t="shared" si="90"/>
        <v>0</v>
      </c>
      <c r="K1004" s="724"/>
      <c r="L1004" s="728"/>
      <c r="M1004" s="724">
        <f t="shared" si="91"/>
        <v>0</v>
      </c>
      <c r="N1004" s="728"/>
      <c r="O1004" s="724">
        <f t="shared" si="92"/>
        <v>0</v>
      </c>
      <c r="P1004" s="724">
        <f t="shared" si="93"/>
        <v>0</v>
      </c>
      <c r="Q1004" s="674"/>
    </row>
    <row r="1005" spans="2:17">
      <c r="B1005" s="330"/>
      <c r="C1005" s="720">
        <f>IF(D961="","-",+C1004+1)</f>
        <v>2052</v>
      </c>
      <c r="D1005" s="673">
        <f t="shared" si="94"/>
        <v>0</v>
      </c>
      <c r="E1005" s="726">
        <f t="shared" si="95"/>
        <v>0</v>
      </c>
      <c r="F1005" s="726">
        <f t="shared" si="88"/>
        <v>0</v>
      </c>
      <c r="G1005" s="673">
        <f t="shared" si="89"/>
        <v>0</v>
      </c>
      <c r="H1005" s="721">
        <f>+J962*G1005+E1005</f>
        <v>0</v>
      </c>
      <c r="I1005" s="727">
        <f>+J963*G1005+E1005</f>
        <v>0</v>
      </c>
      <c r="J1005" s="724">
        <f t="shared" si="90"/>
        <v>0</v>
      </c>
      <c r="K1005" s="724"/>
      <c r="L1005" s="728"/>
      <c r="M1005" s="724">
        <f t="shared" si="91"/>
        <v>0</v>
      </c>
      <c r="N1005" s="728"/>
      <c r="O1005" s="724">
        <f t="shared" si="92"/>
        <v>0</v>
      </c>
      <c r="P1005" s="724">
        <f t="shared" si="93"/>
        <v>0</v>
      </c>
      <c r="Q1005" s="674"/>
    </row>
    <row r="1006" spans="2:17">
      <c r="B1006" s="330"/>
      <c r="C1006" s="720">
        <f>IF(D961="","-",+C1005+1)</f>
        <v>2053</v>
      </c>
      <c r="D1006" s="673">
        <f t="shared" si="94"/>
        <v>0</v>
      </c>
      <c r="E1006" s="726">
        <f t="shared" si="95"/>
        <v>0</v>
      </c>
      <c r="F1006" s="726">
        <f t="shared" si="88"/>
        <v>0</v>
      </c>
      <c r="G1006" s="673">
        <f t="shared" si="89"/>
        <v>0</v>
      </c>
      <c r="H1006" s="721">
        <f>+J962*G1006+E1006</f>
        <v>0</v>
      </c>
      <c r="I1006" s="727">
        <f>+J963*G1006+E1006</f>
        <v>0</v>
      </c>
      <c r="J1006" s="724">
        <f t="shared" si="90"/>
        <v>0</v>
      </c>
      <c r="K1006" s="724"/>
      <c r="L1006" s="728"/>
      <c r="M1006" s="724">
        <f t="shared" si="91"/>
        <v>0</v>
      </c>
      <c r="N1006" s="728"/>
      <c r="O1006" s="724">
        <f t="shared" si="92"/>
        <v>0</v>
      </c>
      <c r="P1006" s="724">
        <f t="shared" si="93"/>
        <v>0</v>
      </c>
      <c r="Q1006" s="674"/>
    </row>
    <row r="1007" spans="2:17">
      <c r="B1007" s="330"/>
      <c r="C1007" s="720">
        <f>IF(D961="","-",+C1006+1)</f>
        <v>2054</v>
      </c>
      <c r="D1007" s="673">
        <f t="shared" si="94"/>
        <v>0</v>
      </c>
      <c r="E1007" s="726">
        <f t="shared" si="95"/>
        <v>0</v>
      </c>
      <c r="F1007" s="726">
        <f t="shared" si="88"/>
        <v>0</v>
      </c>
      <c r="G1007" s="673">
        <f t="shared" si="89"/>
        <v>0</v>
      </c>
      <c r="H1007" s="721">
        <f>+J962*G1007+E1007</f>
        <v>0</v>
      </c>
      <c r="I1007" s="727">
        <f>+J963*G1007+E1007</f>
        <v>0</v>
      </c>
      <c r="J1007" s="724">
        <f t="shared" si="90"/>
        <v>0</v>
      </c>
      <c r="K1007" s="724"/>
      <c r="L1007" s="728"/>
      <c r="M1007" s="724">
        <f t="shared" si="91"/>
        <v>0</v>
      </c>
      <c r="N1007" s="728"/>
      <c r="O1007" s="724">
        <f t="shared" si="92"/>
        <v>0</v>
      </c>
      <c r="P1007" s="724">
        <f t="shared" si="93"/>
        <v>0</v>
      </c>
      <c r="Q1007" s="674"/>
    </row>
    <row r="1008" spans="2:17">
      <c r="B1008" s="330"/>
      <c r="C1008" s="720">
        <f>IF(D961="","-",+C1007+1)</f>
        <v>2055</v>
      </c>
      <c r="D1008" s="673">
        <f t="shared" si="94"/>
        <v>0</v>
      </c>
      <c r="E1008" s="726">
        <f t="shared" si="95"/>
        <v>0</v>
      </c>
      <c r="F1008" s="726">
        <f t="shared" si="88"/>
        <v>0</v>
      </c>
      <c r="G1008" s="673">
        <f t="shared" si="89"/>
        <v>0</v>
      </c>
      <c r="H1008" s="721">
        <f>+J962*G1008+E1008</f>
        <v>0</v>
      </c>
      <c r="I1008" s="727">
        <f>+J963*G1008+E1008</f>
        <v>0</v>
      </c>
      <c r="J1008" s="724">
        <f t="shared" si="90"/>
        <v>0</v>
      </c>
      <c r="K1008" s="724"/>
      <c r="L1008" s="728"/>
      <c r="M1008" s="724">
        <f t="shared" si="91"/>
        <v>0</v>
      </c>
      <c r="N1008" s="728"/>
      <c r="O1008" s="724">
        <f t="shared" si="92"/>
        <v>0</v>
      </c>
      <c r="P1008" s="724">
        <f t="shared" si="93"/>
        <v>0</v>
      </c>
      <c r="Q1008" s="674"/>
    </row>
    <row r="1009" spans="2:17">
      <c r="B1009" s="330"/>
      <c r="C1009" s="720">
        <f>IF(D961="","-",+C1008+1)</f>
        <v>2056</v>
      </c>
      <c r="D1009" s="673">
        <f t="shared" si="94"/>
        <v>0</v>
      </c>
      <c r="E1009" s="726">
        <f t="shared" si="95"/>
        <v>0</v>
      </c>
      <c r="F1009" s="726">
        <f t="shared" si="88"/>
        <v>0</v>
      </c>
      <c r="G1009" s="673">
        <f t="shared" si="89"/>
        <v>0</v>
      </c>
      <c r="H1009" s="721">
        <f>+J962*G1009+E1009</f>
        <v>0</v>
      </c>
      <c r="I1009" s="727">
        <f>+J963*G1009+E1009</f>
        <v>0</v>
      </c>
      <c r="J1009" s="724">
        <f t="shared" si="90"/>
        <v>0</v>
      </c>
      <c r="K1009" s="724"/>
      <c r="L1009" s="728"/>
      <c r="M1009" s="724">
        <f t="shared" si="91"/>
        <v>0</v>
      </c>
      <c r="N1009" s="728"/>
      <c r="O1009" s="724">
        <f t="shared" si="92"/>
        <v>0</v>
      </c>
      <c r="P1009" s="724">
        <f t="shared" si="93"/>
        <v>0</v>
      </c>
      <c r="Q1009" s="674"/>
    </row>
    <row r="1010" spans="2:17">
      <c r="B1010" s="330"/>
      <c r="C1010" s="720">
        <f>IF(D961="","-",+C1009+1)</f>
        <v>2057</v>
      </c>
      <c r="D1010" s="673">
        <f t="shared" si="94"/>
        <v>0</v>
      </c>
      <c r="E1010" s="726">
        <f t="shared" si="95"/>
        <v>0</v>
      </c>
      <c r="F1010" s="726">
        <f t="shared" si="88"/>
        <v>0</v>
      </c>
      <c r="G1010" s="673">
        <f t="shared" si="89"/>
        <v>0</v>
      </c>
      <c r="H1010" s="721">
        <f>+J962*G1010+E1010</f>
        <v>0</v>
      </c>
      <c r="I1010" s="727">
        <f>+J963*G1010+E1010</f>
        <v>0</v>
      </c>
      <c r="J1010" s="724">
        <f t="shared" si="90"/>
        <v>0</v>
      </c>
      <c r="K1010" s="724"/>
      <c r="L1010" s="728"/>
      <c r="M1010" s="724">
        <f t="shared" si="91"/>
        <v>0</v>
      </c>
      <c r="N1010" s="728"/>
      <c r="O1010" s="724">
        <f t="shared" si="92"/>
        <v>0</v>
      </c>
      <c r="P1010" s="724">
        <f t="shared" si="93"/>
        <v>0</v>
      </c>
      <c r="Q1010" s="674"/>
    </row>
    <row r="1011" spans="2:17">
      <c r="B1011" s="330"/>
      <c r="C1011" s="720">
        <f>IF(D961="","-",+C1010+1)</f>
        <v>2058</v>
      </c>
      <c r="D1011" s="673">
        <f t="shared" si="94"/>
        <v>0</v>
      </c>
      <c r="E1011" s="726">
        <f t="shared" si="95"/>
        <v>0</v>
      </c>
      <c r="F1011" s="726">
        <f t="shared" si="88"/>
        <v>0</v>
      </c>
      <c r="G1011" s="673">
        <f t="shared" si="89"/>
        <v>0</v>
      </c>
      <c r="H1011" s="721">
        <f>+J962*G1011+E1011</f>
        <v>0</v>
      </c>
      <c r="I1011" s="727">
        <f>+J963*G1011+E1011</f>
        <v>0</v>
      </c>
      <c r="J1011" s="724">
        <f t="shared" si="90"/>
        <v>0</v>
      </c>
      <c r="K1011" s="724"/>
      <c r="L1011" s="728"/>
      <c r="M1011" s="724">
        <f t="shared" si="91"/>
        <v>0</v>
      </c>
      <c r="N1011" s="728"/>
      <c r="O1011" s="724">
        <f t="shared" si="92"/>
        <v>0</v>
      </c>
      <c r="P1011" s="724">
        <f t="shared" si="93"/>
        <v>0</v>
      </c>
      <c r="Q1011" s="674"/>
    </row>
    <row r="1012" spans="2:17">
      <c r="B1012" s="330"/>
      <c r="C1012" s="720">
        <f>IF(D961="","-",+C1011+1)</f>
        <v>2059</v>
      </c>
      <c r="D1012" s="673">
        <f t="shared" si="94"/>
        <v>0</v>
      </c>
      <c r="E1012" s="726">
        <f t="shared" si="95"/>
        <v>0</v>
      </c>
      <c r="F1012" s="726">
        <f t="shared" si="88"/>
        <v>0</v>
      </c>
      <c r="G1012" s="673">
        <f t="shared" si="89"/>
        <v>0</v>
      </c>
      <c r="H1012" s="721">
        <f>+J962*G1012+E1012</f>
        <v>0</v>
      </c>
      <c r="I1012" s="727">
        <f>+J963*G1012+E1012</f>
        <v>0</v>
      </c>
      <c r="J1012" s="724">
        <f t="shared" si="90"/>
        <v>0</v>
      </c>
      <c r="K1012" s="724"/>
      <c r="L1012" s="728"/>
      <c r="M1012" s="724">
        <f t="shared" si="91"/>
        <v>0</v>
      </c>
      <c r="N1012" s="728"/>
      <c r="O1012" s="724">
        <f t="shared" si="92"/>
        <v>0</v>
      </c>
      <c r="P1012" s="724">
        <f t="shared" si="93"/>
        <v>0</v>
      </c>
      <c r="Q1012" s="674"/>
    </row>
    <row r="1013" spans="2:17">
      <c r="B1013" s="330"/>
      <c r="C1013" s="720">
        <f>IF(D961="","-",+C1012+1)</f>
        <v>2060</v>
      </c>
      <c r="D1013" s="673">
        <f t="shared" si="94"/>
        <v>0</v>
      </c>
      <c r="E1013" s="726">
        <f t="shared" si="95"/>
        <v>0</v>
      </c>
      <c r="F1013" s="726">
        <f t="shared" si="88"/>
        <v>0</v>
      </c>
      <c r="G1013" s="673">
        <f t="shared" si="89"/>
        <v>0</v>
      </c>
      <c r="H1013" s="721">
        <f>+J962*G1013+E1013</f>
        <v>0</v>
      </c>
      <c r="I1013" s="727">
        <f>+J963*G1013+E1013</f>
        <v>0</v>
      </c>
      <c r="J1013" s="724">
        <f t="shared" si="90"/>
        <v>0</v>
      </c>
      <c r="K1013" s="724"/>
      <c r="L1013" s="728"/>
      <c r="M1013" s="724">
        <f t="shared" si="91"/>
        <v>0</v>
      </c>
      <c r="N1013" s="728"/>
      <c r="O1013" s="724">
        <f t="shared" si="92"/>
        <v>0</v>
      </c>
      <c r="P1013" s="724">
        <f t="shared" si="93"/>
        <v>0</v>
      </c>
      <c r="Q1013" s="674"/>
    </row>
    <row r="1014" spans="2:17">
      <c r="B1014" s="330"/>
      <c r="C1014" s="720">
        <f>IF(D961="","-",+C1013+1)</f>
        <v>2061</v>
      </c>
      <c r="D1014" s="673">
        <f t="shared" si="94"/>
        <v>0</v>
      </c>
      <c r="E1014" s="726">
        <f t="shared" si="95"/>
        <v>0</v>
      </c>
      <c r="F1014" s="726">
        <f t="shared" si="88"/>
        <v>0</v>
      </c>
      <c r="G1014" s="673">
        <f t="shared" si="89"/>
        <v>0</v>
      </c>
      <c r="H1014" s="721">
        <f>+J962*G1014+E1014</f>
        <v>0</v>
      </c>
      <c r="I1014" s="727">
        <f>+J963*G1014+E1014</f>
        <v>0</v>
      </c>
      <c r="J1014" s="724">
        <f t="shared" si="90"/>
        <v>0</v>
      </c>
      <c r="K1014" s="724"/>
      <c r="L1014" s="728"/>
      <c r="M1014" s="724">
        <f t="shared" si="91"/>
        <v>0</v>
      </c>
      <c r="N1014" s="728"/>
      <c r="O1014" s="724">
        <f t="shared" si="92"/>
        <v>0</v>
      </c>
      <c r="P1014" s="724">
        <f t="shared" si="93"/>
        <v>0</v>
      </c>
      <c r="Q1014" s="674"/>
    </row>
    <row r="1015" spans="2:17">
      <c r="B1015" s="330"/>
      <c r="C1015" s="720">
        <f>IF(D961="","-",+C1014+1)</f>
        <v>2062</v>
      </c>
      <c r="D1015" s="673">
        <f t="shared" si="94"/>
        <v>0</v>
      </c>
      <c r="E1015" s="726">
        <f t="shared" si="95"/>
        <v>0</v>
      </c>
      <c r="F1015" s="726">
        <f t="shared" si="88"/>
        <v>0</v>
      </c>
      <c r="G1015" s="673">
        <f t="shared" si="89"/>
        <v>0</v>
      </c>
      <c r="H1015" s="721">
        <f>+J962*G1015+E1015</f>
        <v>0</v>
      </c>
      <c r="I1015" s="727">
        <f>+J963*G1015+E1015</f>
        <v>0</v>
      </c>
      <c r="J1015" s="724">
        <f t="shared" si="90"/>
        <v>0</v>
      </c>
      <c r="K1015" s="724"/>
      <c r="L1015" s="728"/>
      <c r="M1015" s="724">
        <f t="shared" si="91"/>
        <v>0</v>
      </c>
      <c r="N1015" s="728"/>
      <c r="O1015" s="724">
        <f t="shared" si="92"/>
        <v>0</v>
      </c>
      <c r="P1015" s="724">
        <f t="shared" si="93"/>
        <v>0</v>
      </c>
      <c r="Q1015" s="674"/>
    </row>
    <row r="1016" spans="2:17">
      <c r="B1016" s="330"/>
      <c r="C1016" s="720">
        <f>IF(D961="","-",+C1015+1)</f>
        <v>2063</v>
      </c>
      <c r="D1016" s="673">
        <f t="shared" si="94"/>
        <v>0</v>
      </c>
      <c r="E1016" s="726">
        <f t="shared" si="95"/>
        <v>0</v>
      </c>
      <c r="F1016" s="726">
        <f t="shared" si="88"/>
        <v>0</v>
      </c>
      <c r="G1016" s="673">
        <f t="shared" si="89"/>
        <v>0</v>
      </c>
      <c r="H1016" s="721">
        <f>+J962*G1016+E1016</f>
        <v>0</v>
      </c>
      <c r="I1016" s="727">
        <f>+J963*G1016+E1016</f>
        <v>0</v>
      </c>
      <c r="J1016" s="724">
        <f t="shared" si="90"/>
        <v>0</v>
      </c>
      <c r="K1016" s="724"/>
      <c r="L1016" s="728"/>
      <c r="M1016" s="724">
        <f t="shared" si="91"/>
        <v>0</v>
      </c>
      <c r="N1016" s="728"/>
      <c r="O1016" s="724">
        <f t="shared" si="92"/>
        <v>0</v>
      </c>
      <c r="P1016" s="724">
        <f t="shared" si="93"/>
        <v>0</v>
      </c>
      <c r="Q1016" s="674"/>
    </row>
    <row r="1017" spans="2:17">
      <c r="B1017" s="330"/>
      <c r="C1017" s="720">
        <f>IF(D961="","-",+C1016+1)</f>
        <v>2064</v>
      </c>
      <c r="D1017" s="673">
        <f t="shared" si="94"/>
        <v>0</v>
      </c>
      <c r="E1017" s="726">
        <f t="shared" si="95"/>
        <v>0</v>
      </c>
      <c r="F1017" s="726">
        <f t="shared" si="88"/>
        <v>0</v>
      </c>
      <c r="G1017" s="673">
        <f t="shared" si="89"/>
        <v>0</v>
      </c>
      <c r="H1017" s="721">
        <f>+J962*G1017+E1017</f>
        <v>0</v>
      </c>
      <c r="I1017" s="727">
        <f>+J963*G1017+E1017</f>
        <v>0</v>
      </c>
      <c r="J1017" s="724">
        <f t="shared" si="90"/>
        <v>0</v>
      </c>
      <c r="K1017" s="724"/>
      <c r="L1017" s="728"/>
      <c r="M1017" s="724">
        <f t="shared" si="91"/>
        <v>0</v>
      </c>
      <c r="N1017" s="728"/>
      <c r="O1017" s="724">
        <f t="shared" si="92"/>
        <v>0</v>
      </c>
      <c r="P1017" s="724">
        <f t="shared" si="93"/>
        <v>0</v>
      </c>
      <c r="Q1017" s="674"/>
    </row>
    <row r="1018" spans="2:17">
      <c r="B1018" s="330"/>
      <c r="C1018" s="720">
        <f>IF(D961="","-",+C1017+1)</f>
        <v>2065</v>
      </c>
      <c r="D1018" s="673">
        <f t="shared" si="94"/>
        <v>0</v>
      </c>
      <c r="E1018" s="726">
        <f t="shared" si="95"/>
        <v>0</v>
      </c>
      <c r="F1018" s="726">
        <f t="shared" si="88"/>
        <v>0</v>
      </c>
      <c r="G1018" s="673">
        <f t="shared" si="89"/>
        <v>0</v>
      </c>
      <c r="H1018" s="721">
        <f>+J962*G1018+E1018</f>
        <v>0</v>
      </c>
      <c r="I1018" s="727">
        <f>+J963*G1018+E1018</f>
        <v>0</v>
      </c>
      <c r="J1018" s="724">
        <f t="shared" si="90"/>
        <v>0</v>
      </c>
      <c r="K1018" s="724"/>
      <c r="L1018" s="728"/>
      <c r="M1018" s="724">
        <f t="shared" si="91"/>
        <v>0</v>
      </c>
      <c r="N1018" s="728"/>
      <c r="O1018" s="724">
        <f t="shared" si="92"/>
        <v>0</v>
      </c>
      <c r="P1018" s="724">
        <f t="shared" si="93"/>
        <v>0</v>
      </c>
      <c r="Q1018" s="674"/>
    </row>
    <row r="1019" spans="2:17">
      <c r="B1019" s="330"/>
      <c r="C1019" s="720">
        <f>IF(D961="","-",+C1018+1)</f>
        <v>2066</v>
      </c>
      <c r="D1019" s="673">
        <f t="shared" si="94"/>
        <v>0</v>
      </c>
      <c r="E1019" s="726">
        <f t="shared" si="95"/>
        <v>0</v>
      </c>
      <c r="F1019" s="726">
        <f t="shared" si="88"/>
        <v>0</v>
      </c>
      <c r="G1019" s="673">
        <f t="shared" si="89"/>
        <v>0</v>
      </c>
      <c r="H1019" s="721">
        <f>+J962*G1019+E1019</f>
        <v>0</v>
      </c>
      <c r="I1019" s="727">
        <f>+J963*G1019+E1019</f>
        <v>0</v>
      </c>
      <c r="J1019" s="724">
        <f t="shared" si="90"/>
        <v>0</v>
      </c>
      <c r="K1019" s="724"/>
      <c r="L1019" s="728"/>
      <c r="M1019" s="724">
        <f t="shared" si="91"/>
        <v>0</v>
      </c>
      <c r="N1019" s="728"/>
      <c r="O1019" s="724">
        <f t="shared" si="92"/>
        <v>0</v>
      </c>
      <c r="P1019" s="724">
        <f t="shared" si="93"/>
        <v>0</v>
      </c>
      <c r="Q1019" s="674"/>
    </row>
    <row r="1020" spans="2:17">
      <c r="B1020" s="330"/>
      <c r="C1020" s="720">
        <f>IF(D961="","-",+C1019+1)</f>
        <v>2067</v>
      </c>
      <c r="D1020" s="673">
        <f t="shared" si="94"/>
        <v>0</v>
      </c>
      <c r="E1020" s="726">
        <f t="shared" si="95"/>
        <v>0</v>
      </c>
      <c r="F1020" s="726">
        <f t="shared" si="88"/>
        <v>0</v>
      </c>
      <c r="G1020" s="673">
        <f t="shared" si="89"/>
        <v>0</v>
      </c>
      <c r="H1020" s="721">
        <f>+J962*G1020+E1020</f>
        <v>0</v>
      </c>
      <c r="I1020" s="727">
        <f>+J963*G1020+E1020</f>
        <v>0</v>
      </c>
      <c r="J1020" s="724">
        <f t="shared" si="90"/>
        <v>0</v>
      </c>
      <c r="K1020" s="724"/>
      <c r="L1020" s="728"/>
      <c r="M1020" s="724">
        <f t="shared" si="91"/>
        <v>0</v>
      </c>
      <c r="N1020" s="728"/>
      <c r="O1020" s="724">
        <f t="shared" si="92"/>
        <v>0</v>
      </c>
      <c r="P1020" s="724">
        <f t="shared" si="93"/>
        <v>0</v>
      </c>
      <c r="Q1020" s="674"/>
    </row>
    <row r="1021" spans="2:17">
      <c r="B1021" s="330"/>
      <c r="C1021" s="720">
        <f>IF(D961="","-",+C1020+1)</f>
        <v>2068</v>
      </c>
      <c r="D1021" s="673">
        <f t="shared" si="94"/>
        <v>0</v>
      </c>
      <c r="E1021" s="726">
        <f t="shared" si="95"/>
        <v>0</v>
      </c>
      <c r="F1021" s="726">
        <f t="shared" si="88"/>
        <v>0</v>
      </c>
      <c r="G1021" s="673">
        <f t="shared" si="89"/>
        <v>0</v>
      </c>
      <c r="H1021" s="721">
        <f>+J962*G1021+E1021</f>
        <v>0</v>
      </c>
      <c r="I1021" s="727">
        <f>+J963*G1021+E1021</f>
        <v>0</v>
      </c>
      <c r="J1021" s="724">
        <f t="shared" si="90"/>
        <v>0</v>
      </c>
      <c r="K1021" s="724"/>
      <c r="L1021" s="728"/>
      <c r="M1021" s="724">
        <f t="shared" si="91"/>
        <v>0</v>
      </c>
      <c r="N1021" s="728"/>
      <c r="O1021" s="724">
        <f t="shared" si="92"/>
        <v>0</v>
      </c>
      <c r="P1021" s="724">
        <f t="shared" si="93"/>
        <v>0</v>
      </c>
      <c r="Q1021" s="674"/>
    </row>
    <row r="1022" spans="2:17">
      <c r="B1022" s="330"/>
      <c r="C1022" s="720">
        <f>IF(D961="","-",+C1021+1)</f>
        <v>2069</v>
      </c>
      <c r="D1022" s="673">
        <f t="shared" si="94"/>
        <v>0</v>
      </c>
      <c r="E1022" s="726">
        <f t="shared" si="95"/>
        <v>0</v>
      </c>
      <c r="F1022" s="726">
        <f t="shared" si="88"/>
        <v>0</v>
      </c>
      <c r="G1022" s="673">
        <f t="shared" si="89"/>
        <v>0</v>
      </c>
      <c r="H1022" s="721">
        <f>+J962*G1022+E1022</f>
        <v>0</v>
      </c>
      <c r="I1022" s="727">
        <f>+J963*G1022+E1022</f>
        <v>0</v>
      </c>
      <c r="J1022" s="724">
        <f t="shared" si="90"/>
        <v>0</v>
      </c>
      <c r="K1022" s="724"/>
      <c r="L1022" s="728"/>
      <c r="M1022" s="724">
        <f t="shared" si="91"/>
        <v>0</v>
      </c>
      <c r="N1022" s="728"/>
      <c r="O1022" s="724">
        <f t="shared" si="92"/>
        <v>0</v>
      </c>
      <c r="P1022" s="724">
        <f t="shared" si="93"/>
        <v>0</v>
      </c>
      <c r="Q1022" s="674"/>
    </row>
    <row r="1023" spans="2:17">
      <c r="B1023" s="330"/>
      <c r="C1023" s="720">
        <f>IF(D961="","-",+C1022+1)</f>
        <v>2070</v>
      </c>
      <c r="D1023" s="673">
        <f t="shared" si="94"/>
        <v>0</v>
      </c>
      <c r="E1023" s="726">
        <f t="shared" si="95"/>
        <v>0</v>
      </c>
      <c r="F1023" s="726">
        <f t="shared" si="88"/>
        <v>0</v>
      </c>
      <c r="G1023" s="673">
        <f t="shared" si="89"/>
        <v>0</v>
      </c>
      <c r="H1023" s="721">
        <f>+J962*G1023+E1023</f>
        <v>0</v>
      </c>
      <c r="I1023" s="727">
        <f>+J963*G1023+E1023</f>
        <v>0</v>
      </c>
      <c r="J1023" s="724">
        <f t="shared" si="90"/>
        <v>0</v>
      </c>
      <c r="K1023" s="724"/>
      <c r="L1023" s="728"/>
      <c r="M1023" s="724">
        <f t="shared" si="91"/>
        <v>0</v>
      </c>
      <c r="N1023" s="728"/>
      <c r="O1023" s="724">
        <f t="shared" si="92"/>
        <v>0</v>
      </c>
      <c r="P1023" s="724">
        <f t="shared" si="93"/>
        <v>0</v>
      </c>
      <c r="Q1023" s="674"/>
    </row>
    <row r="1024" spans="2:17">
      <c r="B1024" s="330"/>
      <c r="C1024" s="720">
        <f>IF(D961="","-",+C1023+1)</f>
        <v>2071</v>
      </c>
      <c r="D1024" s="673">
        <f t="shared" si="94"/>
        <v>0</v>
      </c>
      <c r="E1024" s="726">
        <f t="shared" si="95"/>
        <v>0</v>
      </c>
      <c r="F1024" s="726">
        <f t="shared" si="88"/>
        <v>0</v>
      </c>
      <c r="G1024" s="673">
        <f t="shared" si="89"/>
        <v>0</v>
      </c>
      <c r="H1024" s="721">
        <f>+J962*G1024+E1024</f>
        <v>0</v>
      </c>
      <c r="I1024" s="727">
        <f>+J963*G1024+E1024</f>
        <v>0</v>
      </c>
      <c r="J1024" s="724">
        <f t="shared" si="90"/>
        <v>0</v>
      </c>
      <c r="K1024" s="724"/>
      <c r="L1024" s="728"/>
      <c r="M1024" s="724">
        <f t="shared" si="91"/>
        <v>0</v>
      </c>
      <c r="N1024" s="728"/>
      <c r="O1024" s="724">
        <f t="shared" si="92"/>
        <v>0</v>
      </c>
      <c r="P1024" s="724">
        <f t="shared" si="93"/>
        <v>0</v>
      </c>
      <c r="Q1024" s="674"/>
    </row>
    <row r="1025" spans="1:17">
      <c r="B1025" s="330"/>
      <c r="C1025" s="720">
        <f>IF(D961="","-",+C1024+1)</f>
        <v>2072</v>
      </c>
      <c r="D1025" s="673">
        <f t="shared" si="94"/>
        <v>0</v>
      </c>
      <c r="E1025" s="726">
        <f t="shared" si="95"/>
        <v>0</v>
      </c>
      <c r="F1025" s="726">
        <f t="shared" si="88"/>
        <v>0</v>
      </c>
      <c r="G1025" s="673">
        <f t="shared" si="89"/>
        <v>0</v>
      </c>
      <c r="H1025" s="721">
        <f>+J962*G1025+E1025</f>
        <v>0</v>
      </c>
      <c r="I1025" s="727">
        <f>+J963*G1025+E1025</f>
        <v>0</v>
      </c>
      <c r="J1025" s="724">
        <f t="shared" si="90"/>
        <v>0</v>
      </c>
      <c r="K1025" s="724"/>
      <c r="L1025" s="728"/>
      <c r="M1025" s="724">
        <f t="shared" si="91"/>
        <v>0</v>
      </c>
      <c r="N1025" s="728"/>
      <c r="O1025" s="724">
        <f t="shared" si="92"/>
        <v>0</v>
      </c>
      <c r="P1025" s="724">
        <f t="shared" si="93"/>
        <v>0</v>
      </c>
      <c r="Q1025" s="674"/>
    </row>
    <row r="1026" spans="1:17" ht="13.5" thickBot="1">
      <c r="B1026" s="330"/>
      <c r="C1026" s="730">
        <f>IF(D961="","-",+C1025+1)</f>
        <v>2073</v>
      </c>
      <c r="D1026" s="731">
        <f t="shared" si="94"/>
        <v>0</v>
      </c>
      <c r="E1026" s="1309">
        <f t="shared" si="95"/>
        <v>0</v>
      </c>
      <c r="F1026" s="732">
        <f t="shared" si="88"/>
        <v>0</v>
      </c>
      <c r="G1026" s="731">
        <f t="shared" si="89"/>
        <v>0</v>
      </c>
      <c r="H1026" s="733">
        <f>+J962*G1026+E1026</f>
        <v>0</v>
      </c>
      <c r="I1026" s="733">
        <f>+J963*G1026+E1026</f>
        <v>0</v>
      </c>
      <c r="J1026" s="734">
        <f t="shared" si="90"/>
        <v>0</v>
      </c>
      <c r="K1026" s="724"/>
      <c r="L1026" s="735"/>
      <c r="M1026" s="734">
        <f t="shared" si="91"/>
        <v>0</v>
      </c>
      <c r="N1026" s="735"/>
      <c r="O1026" s="734">
        <f t="shared" si="92"/>
        <v>0</v>
      </c>
      <c r="P1026" s="734">
        <f t="shared" si="93"/>
        <v>0</v>
      </c>
      <c r="Q1026" s="674"/>
    </row>
    <row r="1027" spans="1:17">
      <c r="B1027" s="330"/>
      <c r="C1027" s="673" t="s">
        <v>288</v>
      </c>
      <c r="D1027" s="669"/>
      <c r="E1027" s="669">
        <f>SUM(E967:E1026)</f>
        <v>0</v>
      </c>
      <c r="F1027" s="669"/>
      <c r="G1027" s="669"/>
      <c r="H1027" s="669">
        <f>SUM(H967:H1026)</f>
        <v>0</v>
      </c>
      <c r="I1027" s="669">
        <f>SUM(I967:I1026)</f>
        <v>0</v>
      </c>
      <c r="J1027" s="669">
        <f>SUM(J967:J1026)</f>
        <v>0</v>
      </c>
      <c r="K1027" s="669"/>
      <c r="L1027" s="669"/>
      <c r="M1027" s="669"/>
      <c r="N1027" s="669"/>
      <c r="O1027" s="669"/>
      <c r="Q1027" s="669"/>
    </row>
    <row r="1028" spans="1:17">
      <c r="B1028" s="330"/>
      <c r="D1028" s="563"/>
      <c r="E1028" s="542"/>
      <c r="F1028" s="542"/>
      <c r="G1028" s="542"/>
      <c r="H1028" s="542"/>
      <c r="I1028" s="646"/>
      <c r="J1028" s="646"/>
      <c r="K1028" s="669"/>
      <c r="L1028" s="646"/>
      <c r="M1028" s="646"/>
      <c r="N1028" s="646"/>
      <c r="O1028" s="646"/>
      <c r="Q1028" s="669"/>
    </row>
    <row r="1029" spans="1:17">
      <c r="B1029" s="330"/>
      <c r="C1029" s="542" t="s">
        <v>595</v>
      </c>
      <c r="D1029" s="563"/>
      <c r="E1029" s="542"/>
      <c r="F1029" s="542"/>
      <c r="G1029" s="542"/>
      <c r="H1029" s="542"/>
      <c r="I1029" s="646"/>
      <c r="J1029" s="646"/>
      <c r="K1029" s="669"/>
      <c r="L1029" s="646"/>
      <c r="M1029" s="646"/>
      <c r="N1029" s="646"/>
      <c r="O1029" s="646"/>
      <c r="Q1029" s="669"/>
    </row>
    <row r="1030" spans="1:17">
      <c r="B1030" s="330"/>
      <c r="D1030" s="563"/>
      <c r="E1030" s="542"/>
      <c r="F1030" s="542"/>
      <c r="G1030" s="542"/>
      <c r="H1030" s="542"/>
      <c r="I1030" s="646"/>
      <c r="J1030" s="646"/>
      <c r="K1030" s="669"/>
      <c r="L1030" s="646"/>
      <c r="M1030" s="646"/>
      <c r="N1030" s="646"/>
      <c r="O1030" s="646"/>
      <c r="Q1030" s="669"/>
    </row>
    <row r="1031" spans="1:17">
      <c r="B1031" s="330"/>
      <c r="C1031" s="576" t="s">
        <v>596</v>
      </c>
      <c r="D1031" s="673"/>
      <c r="E1031" s="673"/>
      <c r="F1031" s="673"/>
      <c r="G1031" s="673"/>
      <c r="H1031" s="669"/>
      <c r="I1031" s="669"/>
      <c r="J1031" s="674"/>
      <c r="K1031" s="674"/>
      <c r="L1031" s="674"/>
      <c r="M1031" s="674"/>
      <c r="N1031" s="674"/>
      <c r="O1031" s="674"/>
      <c r="Q1031" s="674"/>
    </row>
    <row r="1032" spans="1:17">
      <c r="B1032" s="330"/>
      <c r="C1032" s="576" t="s">
        <v>476</v>
      </c>
      <c r="D1032" s="673"/>
      <c r="E1032" s="673"/>
      <c r="F1032" s="673"/>
      <c r="G1032" s="673"/>
      <c r="H1032" s="669"/>
      <c r="I1032" s="669"/>
      <c r="J1032" s="674"/>
      <c r="K1032" s="674"/>
      <c r="L1032" s="674"/>
      <c r="M1032" s="674"/>
      <c r="N1032" s="674"/>
      <c r="O1032" s="674"/>
      <c r="Q1032" s="674"/>
    </row>
    <row r="1033" spans="1:17">
      <c r="B1033" s="330"/>
      <c r="C1033" s="576" t="s">
        <v>289</v>
      </c>
      <c r="D1033" s="673"/>
      <c r="E1033" s="673"/>
      <c r="F1033" s="673"/>
      <c r="G1033" s="673"/>
      <c r="H1033" s="669"/>
      <c r="I1033" s="669"/>
      <c r="J1033" s="674"/>
      <c r="K1033" s="674"/>
      <c r="L1033" s="674"/>
      <c r="M1033" s="674"/>
      <c r="N1033" s="674"/>
      <c r="O1033" s="674"/>
      <c r="Q1033" s="674"/>
    </row>
    <row r="1034" spans="1:17" ht="20.25">
      <c r="A1034" s="675" t="s">
        <v>764</v>
      </c>
      <c r="B1034" s="542"/>
      <c r="C1034" s="655"/>
      <c r="D1034" s="563"/>
      <c r="E1034" s="542"/>
      <c r="F1034" s="645"/>
      <c r="G1034" s="645"/>
      <c r="H1034" s="542"/>
      <c r="I1034" s="646"/>
      <c r="L1034" s="676"/>
      <c r="M1034" s="676"/>
      <c r="N1034" s="676"/>
      <c r="O1034" s="591" t="str">
        <f>"Page "&amp;SUM(Q$3:Q1034)&amp;" of "</f>
        <v xml:space="preserve">Page 13 of </v>
      </c>
      <c r="P1034" s="592">
        <f>COUNT(Q$8:Q$58212)</f>
        <v>23</v>
      </c>
      <c r="Q1034" s="756">
        <v>1</v>
      </c>
    </row>
    <row r="1035" spans="1:17">
      <c r="B1035" s="542"/>
      <c r="C1035" s="542"/>
      <c r="D1035" s="563"/>
      <c r="E1035" s="542"/>
      <c r="F1035" s="542"/>
      <c r="G1035" s="542"/>
      <c r="H1035" s="542"/>
      <c r="I1035" s="646"/>
      <c r="J1035" s="542"/>
      <c r="K1035" s="588"/>
      <c r="Q1035" s="588"/>
    </row>
    <row r="1036" spans="1:17" ht="18">
      <c r="B1036" s="595" t="s">
        <v>174</v>
      </c>
      <c r="C1036" s="677" t="s">
        <v>290</v>
      </c>
      <c r="D1036" s="563"/>
      <c r="E1036" s="542"/>
      <c r="F1036" s="542"/>
      <c r="G1036" s="542"/>
      <c r="H1036" s="542"/>
      <c r="I1036" s="646"/>
      <c r="J1036" s="646"/>
      <c r="K1036" s="669"/>
      <c r="L1036" s="646"/>
      <c r="M1036" s="646"/>
      <c r="N1036" s="646"/>
      <c r="O1036" s="646"/>
      <c r="Q1036" s="669"/>
    </row>
    <row r="1037" spans="1:17" ht="18.75">
      <c r="B1037" s="595"/>
      <c r="C1037" s="594"/>
      <c r="D1037" s="563"/>
      <c r="E1037" s="542"/>
      <c r="F1037" s="542"/>
      <c r="G1037" s="542"/>
      <c r="H1037" s="542"/>
      <c r="I1037" s="646"/>
      <c r="J1037" s="646"/>
      <c r="K1037" s="669"/>
      <c r="L1037" s="646"/>
      <c r="M1037" s="646"/>
      <c r="N1037" s="646"/>
      <c r="O1037" s="646"/>
      <c r="Q1037" s="669"/>
    </row>
    <row r="1038" spans="1:17" ht="18.75">
      <c r="B1038" s="595"/>
      <c r="C1038" s="594" t="s">
        <v>291</v>
      </c>
      <c r="D1038" s="563"/>
      <c r="E1038" s="542"/>
      <c r="F1038" s="542"/>
      <c r="G1038" s="542"/>
      <c r="H1038" s="542"/>
      <c r="I1038" s="646"/>
      <c r="J1038" s="646"/>
      <c r="K1038" s="669"/>
      <c r="L1038" s="646"/>
      <c r="M1038" s="646"/>
      <c r="N1038" s="646"/>
      <c r="O1038" s="646"/>
      <c r="Q1038" s="669"/>
    </row>
    <row r="1039" spans="1:17" ht="15.75" thickBot="1">
      <c r="B1039" s="330"/>
      <c r="C1039" s="396"/>
      <c r="D1039" s="563"/>
      <c r="E1039" s="542"/>
      <c r="F1039" s="542"/>
      <c r="G1039" s="542"/>
      <c r="H1039" s="542"/>
      <c r="I1039" s="646"/>
      <c r="J1039" s="646"/>
      <c r="K1039" s="669"/>
      <c r="L1039" s="646"/>
      <c r="M1039" s="646"/>
      <c r="N1039" s="646"/>
      <c r="O1039" s="646"/>
      <c r="Q1039" s="669"/>
    </row>
    <row r="1040" spans="1:17" ht="15.75">
      <c r="B1040" s="330"/>
      <c r="C1040" s="596" t="s">
        <v>292</v>
      </c>
      <c r="D1040" s="563"/>
      <c r="E1040" s="542"/>
      <c r="F1040" s="542"/>
      <c r="G1040" s="542"/>
      <c r="H1040" s="864"/>
      <c r="I1040" s="542" t="s">
        <v>271</v>
      </c>
      <c r="J1040" s="542"/>
      <c r="K1040" s="588"/>
      <c r="L1040" s="757">
        <f>+J1046</f>
        <v>2021</v>
      </c>
      <c r="M1040" s="739" t="s">
        <v>254</v>
      </c>
      <c r="N1040" s="739" t="s">
        <v>255</v>
      </c>
      <c r="O1040" s="740" t="s">
        <v>256</v>
      </c>
      <c r="Q1040" s="588"/>
    </row>
    <row r="1041" spans="1:17" ht="15.75">
      <c r="B1041" s="330"/>
      <c r="C1041" s="596"/>
      <c r="D1041" s="563"/>
      <c r="E1041" s="542"/>
      <c r="F1041" s="542"/>
      <c r="H1041" s="542"/>
      <c r="I1041" s="681"/>
      <c r="J1041" s="681"/>
      <c r="K1041" s="682"/>
      <c r="L1041" s="758" t="s">
        <v>455</v>
      </c>
      <c r="M1041" s="759">
        <f>VLOOKUP(J1046,C1053:P1112,10)</f>
        <v>1042816.9121376689</v>
      </c>
      <c r="N1041" s="759">
        <f>VLOOKUP(J1046,C1053:P1112,12)</f>
        <v>1042816.9121376689</v>
      </c>
      <c r="O1041" s="760">
        <f>+N1041-M1041</f>
        <v>0</v>
      </c>
      <c r="Q1041" s="682"/>
    </row>
    <row r="1042" spans="1:17">
      <c r="B1042" s="330"/>
      <c r="C1042" s="684" t="s">
        <v>293</v>
      </c>
      <c r="D1042" s="1703" t="s">
        <v>945</v>
      </c>
      <c r="E1042" s="1703"/>
      <c r="F1042" s="1703"/>
      <c r="G1042" s="1703"/>
      <c r="H1042" s="1703"/>
      <c r="I1042" s="1703"/>
      <c r="J1042" s="646"/>
      <c r="K1042" s="669"/>
      <c r="L1042" s="758" t="s">
        <v>456</v>
      </c>
      <c r="M1042" s="761">
        <f>VLOOKUP(J1046,C1053:P1112,6)</f>
        <v>1104577.9866458671</v>
      </c>
      <c r="N1042" s="761">
        <f>VLOOKUP(J1046,C1053:P1112,7)</f>
        <v>1104577.9866458671</v>
      </c>
      <c r="O1042" s="762">
        <f>+N1042-M1042</f>
        <v>0</v>
      </c>
      <c r="Q1042" s="669"/>
    </row>
    <row r="1043" spans="1:17" ht="13.5" thickBot="1">
      <c r="B1043" s="330"/>
      <c r="C1043" s="686"/>
      <c r="D1043" s="1703" t="s">
        <v>114</v>
      </c>
      <c r="E1043" s="1703"/>
      <c r="F1043" s="1703"/>
      <c r="G1043" s="1703"/>
      <c r="H1043" s="1703"/>
      <c r="I1043" s="1703"/>
      <c r="J1043" s="646"/>
      <c r="K1043" s="669"/>
      <c r="L1043" s="705" t="s">
        <v>457</v>
      </c>
      <c r="M1043" s="763">
        <f>+M1042-M1041</f>
        <v>61761.074508198188</v>
      </c>
      <c r="N1043" s="763">
        <f>+N1042-N1041</f>
        <v>61761.074508198188</v>
      </c>
      <c r="O1043" s="764">
        <f>+O1042-O1041</f>
        <v>0</v>
      </c>
      <c r="Q1043" s="669"/>
    </row>
    <row r="1044" spans="1:17" ht="13.5" thickBot="1">
      <c r="B1044" s="330"/>
      <c r="C1044" s="689"/>
      <c r="D1044" s="690"/>
      <c r="E1044" s="688"/>
      <c r="F1044" s="688"/>
      <c r="G1044" s="688"/>
      <c r="H1044" s="688"/>
      <c r="I1044" s="688"/>
      <c r="J1044" s="688"/>
      <c r="K1044" s="691"/>
      <c r="L1044" s="688"/>
      <c r="M1044" s="688"/>
      <c r="N1044" s="688"/>
      <c r="O1044" s="688"/>
      <c r="P1044" s="576"/>
      <c r="Q1044" s="691"/>
    </row>
    <row r="1045" spans="1:17" ht="13.5" thickBot="1">
      <c r="B1045" s="330"/>
      <c r="C1045" s="692" t="s">
        <v>294</v>
      </c>
      <c r="D1045" s="693"/>
      <c r="E1045" s="693"/>
      <c r="F1045" s="693"/>
      <c r="G1045" s="693"/>
      <c r="H1045" s="693"/>
      <c r="I1045" s="693"/>
      <c r="J1045" s="693"/>
      <c r="K1045" s="695"/>
      <c r="P1045" s="696"/>
      <c r="Q1045" s="695"/>
    </row>
    <row r="1046" spans="1:17" ht="15">
      <c r="A1046" s="1310"/>
      <c r="B1046" s="330"/>
      <c r="C1046" s="697" t="s">
        <v>272</v>
      </c>
      <c r="D1046" s="1253">
        <v>7169897.79</v>
      </c>
      <c r="E1046" s="655" t="s">
        <v>273</v>
      </c>
      <c r="H1046" s="698"/>
      <c r="I1046" s="698"/>
      <c r="J1046" s="1451">
        <f>$J$95</f>
        <v>2021</v>
      </c>
      <c r="K1046" s="586"/>
      <c r="L1046" s="1717" t="s">
        <v>274</v>
      </c>
      <c r="M1046" s="1717"/>
      <c r="N1046" s="1717"/>
      <c r="O1046" s="1717"/>
      <c r="P1046" s="588"/>
      <c r="Q1046" s="586"/>
    </row>
    <row r="1047" spans="1:17">
      <c r="A1047" s="1310"/>
      <c r="B1047" s="330"/>
      <c r="C1047" s="697" t="s">
        <v>275</v>
      </c>
      <c r="D1047" s="865">
        <v>2015</v>
      </c>
      <c r="E1047" s="697" t="s">
        <v>276</v>
      </c>
      <c r="F1047" s="698"/>
      <c r="G1047" s="698"/>
      <c r="I1047" s="330"/>
      <c r="J1047" s="867">
        <v>0</v>
      </c>
      <c r="K1047" s="700"/>
      <c r="L1047" s="669" t="s">
        <v>475</v>
      </c>
      <c r="P1047" s="588"/>
      <c r="Q1047" s="700"/>
    </row>
    <row r="1048" spans="1:17">
      <c r="A1048" s="1310"/>
      <c r="B1048" s="330"/>
      <c r="C1048" s="697" t="s">
        <v>277</v>
      </c>
      <c r="D1048" s="1253">
        <v>2</v>
      </c>
      <c r="E1048" s="697" t="s">
        <v>278</v>
      </c>
      <c r="F1048" s="698"/>
      <c r="G1048" s="698"/>
      <c r="I1048" s="330"/>
      <c r="J1048" s="701">
        <f>$F$70</f>
        <v>0.15341253840442806</v>
      </c>
      <c r="K1048" s="702"/>
      <c r="L1048" s="542" t="str">
        <f>"          INPUT TRUE-UP ARR (WITH &amp; WITHOUT INCENTIVES) FROM EACH PRIOR YEAR"</f>
        <v xml:space="preserve">          INPUT TRUE-UP ARR (WITH &amp; WITHOUT INCENTIVES) FROM EACH PRIOR YEAR</v>
      </c>
      <c r="P1048" s="588"/>
      <c r="Q1048" s="702"/>
    </row>
    <row r="1049" spans="1:17">
      <c r="A1049" s="1310"/>
      <c r="B1049" s="330"/>
      <c r="C1049" s="697" t="s">
        <v>279</v>
      </c>
      <c r="D1049" s="703">
        <f>H79</f>
        <v>44</v>
      </c>
      <c r="E1049" s="697" t="s">
        <v>280</v>
      </c>
      <c r="F1049" s="698"/>
      <c r="G1049" s="698"/>
      <c r="I1049" s="330"/>
      <c r="J1049" s="701">
        <f>IF(H1040="",J1048,$F$69)</f>
        <v>0.15341253840442806</v>
      </c>
      <c r="K1049" s="704"/>
      <c r="L1049" s="542" t="s">
        <v>362</v>
      </c>
      <c r="M1049" s="704"/>
      <c r="N1049" s="704"/>
      <c r="O1049" s="704"/>
      <c r="P1049" s="588"/>
      <c r="Q1049" s="704"/>
    </row>
    <row r="1050" spans="1:17" ht="13.5" thickBot="1">
      <c r="A1050" s="1310"/>
      <c r="B1050" s="330"/>
      <c r="C1050" s="697" t="s">
        <v>281</v>
      </c>
      <c r="D1050" s="866" t="s">
        <v>933</v>
      </c>
      <c r="E1050" s="705" t="s">
        <v>282</v>
      </c>
      <c r="F1050" s="706"/>
      <c r="G1050" s="706"/>
      <c r="H1050" s="707"/>
      <c r="I1050" s="707"/>
      <c r="J1050" s="685">
        <f>IF(D1046=0,0,D1046/D1049)</f>
        <v>162952.2225</v>
      </c>
      <c r="K1050" s="669"/>
      <c r="L1050" s="669" t="s">
        <v>363</v>
      </c>
      <c r="M1050" s="669"/>
      <c r="N1050" s="669"/>
      <c r="O1050" s="669"/>
      <c r="P1050" s="588"/>
      <c r="Q1050" s="669"/>
    </row>
    <row r="1051" spans="1:17" ht="38.25">
      <c r="A1051" s="529"/>
      <c r="B1051" s="529"/>
      <c r="C1051" s="708" t="s">
        <v>272</v>
      </c>
      <c r="D1051" s="709" t="s">
        <v>283</v>
      </c>
      <c r="E1051" s="710" t="s">
        <v>284</v>
      </c>
      <c r="F1051" s="709" t="s">
        <v>285</v>
      </c>
      <c r="G1051" s="709" t="s">
        <v>458</v>
      </c>
      <c r="H1051" s="710" t="s">
        <v>356</v>
      </c>
      <c r="I1051" s="711" t="s">
        <v>356</v>
      </c>
      <c r="J1051" s="708" t="s">
        <v>295</v>
      </c>
      <c r="K1051" s="712"/>
      <c r="L1051" s="710" t="s">
        <v>358</v>
      </c>
      <c r="M1051" s="710" t="s">
        <v>364</v>
      </c>
      <c r="N1051" s="710" t="s">
        <v>358</v>
      </c>
      <c r="O1051" s="710" t="s">
        <v>366</v>
      </c>
      <c r="P1051" s="710" t="s">
        <v>286</v>
      </c>
      <c r="Q1051" s="713"/>
    </row>
    <row r="1052" spans="1:17" ht="13.5" thickBot="1">
      <c r="B1052" s="330"/>
      <c r="C1052" s="714" t="s">
        <v>177</v>
      </c>
      <c r="D1052" s="715" t="s">
        <v>178</v>
      </c>
      <c r="E1052" s="714" t="s">
        <v>37</v>
      </c>
      <c r="F1052" s="715" t="s">
        <v>178</v>
      </c>
      <c r="G1052" s="715" t="s">
        <v>178</v>
      </c>
      <c r="H1052" s="716" t="s">
        <v>298</v>
      </c>
      <c r="I1052" s="717" t="s">
        <v>300</v>
      </c>
      <c r="J1052" s="718" t="s">
        <v>389</v>
      </c>
      <c r="K1052" s="719"/>
      <c r="L1052" s="716" t="s">
        <v>287</v>
      </c>
      <c r="M1052" s="716" t="s">
        <v>287</v>
      </c>
      <c r="N1052" s="716" t="s">
        <v>467</v>
      </c>
      <c r="O1052" s="716" t="s">
        <v>467</v>
      </c>
      <c r="P1052" s="716" t="s">
        <v>467</v>
      </c>
      <c r="Q1052" s="586"/>
    </row>
    <row r="1053" spans="1:17">
      <c r="B1053" s="330"/>
      <c r="C1053" s="720">
        <f>IF(D1047= "","-",D1047)</f>
        <v>2015</v>
      </c>
      <c r="D1053" s="673">
        <f>+D1046</f>
        <v>7169897.79</v>
      </c>
      <c r="E1053" s="721">
        <f>+J1050/12*(12-D1048)</f>
        <v>135793.51874999999</v>
      </c>
      <c r="F1053" s="765">
        <f t="shared" ref="F1053:F1112" si="96">+D1053-E1053</f>
        <v>7034104.2712500002</v>
      </c>
      <c r="G1053" s="673">
        <f t="shared" ref="G1053:G1112" si="97">+(D1053+F1053)/2</f>
        <v>7102001.0306250006</v>
      </c>
      <c r="H1053" s="722">
        <f>+J1048*G1053+E1053</f>
        <v>1225329.5246090456</v>
      </c>
      <c r="I1053" s="723">
        <f>+J1049*G1053+E1053</f>
        <v>1225329.5246090456</v>
      </c>
      <c r="J1053" s="724">
        <f t="shared" ref="J1053:J1112" si="98">+I1053-H1053</f>
        <v>0</v>
      </c>
      <c r="K1053" s="724"/>
      <c r="L1053" s="728">
        <v>250071</v>
      </c>
      <c r="M1053" s="766">
        <f t="shared" ref="M1053:M1112" si="99">IF(L1053&lt;&gt;0,+H1053-L1053,0)</f>
        <v>975258.52460904559</v>
      </c>
      <c r="N1053" s="728">
        <v>250071</v>
      </c>
      <c r="O1053" s="766">
        <f t="shared" ref="O1053:O1112" si="100">IF(N1053&lt;&gt;0,+I1053-N1053,0)</f>
        <v>975258.52460904559</v>
      </c>
      <c r="P1053" s="766">
        <f t="shared" ref="P1053:P1112" si="101">+O1053-M1053</f>
        <v>0</v>
      </c>
      <c r="Q1053" s="674"/>
    </row>
    <row r="1054" spans="1:17">
      <c r="B1054" s="330"/>
      <c r="C1054" s="720">
        <f>IF(D1047="","-",+C1053+1)</f>
        <v>2016</v>
      </c>
      <c r="D1054" s="673">
        <f t="shared" ref="D1054:D1112" si="102">F1053</f>
        <v>7034104.2712500002</v>
      </c>
      <c r="E1054" s="726">
        <f>IF(D1054&gt;$J$1050,$J$1050,D1054)</f>
        <v>162952.2225</v>
      </c>
      <c r="F1054" s="726">
        <f t="shared" si="96"/>
        <v>6871152.0487500001</v>
      </c>
      <c r="G1054" s="673">
        <f t="shared" si="97"/>
        <v>6952628.1600000001</v>
      </c>
      <c r="H1054" s="721">
        <f>+J1048*G1054+E1054</f>
        <v>1229572.557107708</v>
      </c>
      <c r="I1054" s="727">
        <f>+J1049*G1054+E1054</f>
        <v>1229572.557107708</v>
      </c>
      <c r="J1054" s="724">
        <f t="shared" si="98"/>
        <v>0</v>
      </c>
      <c r="K1054" s="724"/>
      <c r="L1054" s="728">
        <v>77068</v>
      </c>
      <c r="M1054" s="724">
        <f t="shared" si="99"/>
        <v>1152504.557107708</v>
      </c>
      <c r="N1054" s="728">
        <v>77068</v>
      </c>
      <c r="O1054" s="724">
        <f t="shared" si="100"/>
        <v>1152504.557107708</v>
      </c>
      <c r="P1054" s="724">
        <f t="shared" si="101"/>
        <v>0</v>
      </c>
      <c r="Q1054" s="674"/>
    </row>
    <row r="1055" spans="1:17">
      <c r="B1055" s="330"/>
      <c r="C1055" s="720">
        <f>IF(D1047="","-",+C1054+1)</f>
        <v>2017</v>
      </c>
      <c r="D1055" s="673">
        <f t="shared" si="102"/>
        <v>6871152.0487500001</v>
      </c>
      <c r="E1055" s="726">
        <f t="shared" ref="E1055:E1112" si="103">IF(D1055&gt;$J$1050,$J$1050,D1055)</f>
        <v>162952.2225</v>
      </c>
      <c r="F1055" s="726">
        <f t="shared" si="96"/>
        <v>6708199.8262499999</v>
      </c>
      <c r="G1055" s="673">
        <f t="shared" si="97"/>
        <v>6789675.9375</v>
      </c>
      <c r="H1055" s="721">
        <f>+J1048*G1055+E1055</f>
        <v>1204573.6430153397</v>
      </c>
      <c r="I1055" s="727">
        <f>+J1049*G1055+E1055</f>
        <v>1204573.6430153397</v>
      </c>
      <c r="J1055" s="724">
        <f t="shared" si="98"/>
        <v>0</v>
      </c>
      <c r="K1055" s="724"/>
      <c r="L1055" s="728">
        <v>123326</v>
      </c>
      <c r="M1055" s="724">
        <f t="shared" si="99"/>
        <v>1081247.6430153397</v>
      </c>
      <c r="N1055" s="728">
        <v>123326</v>
      </c>
      <c r="O1055" s="724">
        <f t="shared" si="100"/>
        <v>1081247.6430153397</v>
      </c>
      <c r="P1055" s="724">
        <f t="shared" si="101"/>
        <v>0</v>
      </c>
      <c r="Q1055" s="674"/>
    </row>
    <row r="1056" spans="1:17">
      <c r="B1056" s="330"/>
      <c r="C1056" s="720">
        <f>IF(D1047="","-",+C1055+1)</f>
        <v>2018</v>
      </c>
      <c r="D1056" s="1455">
        <f t="shared" si="102"/>
        <v>6708199.8262499999</v>
      </c>
      <c r="E1056" s="726">
        <f t="shared" si="103"/>
        <v>162952.2225</v>
      </c>
      <c r="F1056" s="726">
        <f t="shared" si="96"/>
        <v>6545247.6037499998</v>
      </c>
      <c r="G1056" s="673">
        <f t="shared" si="97"/>
        <v>6626723.7149999999</v>
      </c>
      <c r="H1056" s="721">
        <f>+J1048*G1056+E1056</f>
        <v>1179574.7289229718</v>
      </c>
      <c r="I1056" s="727">
        <f>+J1049*G1056+E1056</f>
        <v>1179574.7289229718</v>
      </c>
      <c r="J1056" s="724">
        <f t="shared" si="98"/>
        <v>0</v>
      </c>
      <c r="K1056" s="724"/>
      <c r="L1056" s="728">
        <v>1165473</v>
      </c>
      <c r="M1056" s="724">
        <f t="shared" si="99"/>
        <v>14101.728922971757</v>
      </c>
      <c r="N1056" s="728">
        <v>1165473</v>
      </c>
      <c r="O1056" s="724">
        <f t="shared" si="100"/>
        <v>14101.728922971757</v>
      </c>
      <c r="P1056" s="724">
        <f t="shared" si="101"/>
        <v>0</v>
      </c>
      <c r="Q1056" s="674"/>
    </row>
    <row r="1057" spans="2:17">
      <c r="B1057" s="330"/>
      <c r="C1057" s="720">
        <f>IF(D1047="","-",+C1056+1)</f>
        <v>2019</v>
      </c>
      <c r="D1057" s="1269">
        <f t="shared" si="102"/>
        <v>6545247.6037499998</v>
      </c>
      <c r="E1057" s="726">
        <f t="shared" si="103"/>
        <v>162952.2225</v>
      </c>
      <c r="F1057" s="726">
        <f t="shared" si="96"/>
        <v>6382295.3812499996</v>
      </c>
      <c r="G1057" s="673">
        <f t="shared" si="97"/>
        <v>6463771.4924999997</v>
      </c>
      <c r="H1057" s="721">
        <f>+J1048*G1057+E1057</f>
        <v>1154575.8148306035</v>
      </c>
      <c r="I1057" s="727">
        <f>+J1049*G1057+E1057</f>
        <v>1154575.8148306035</v>
      </c>
      <c r="J1057" s="724">
        <f t="shared" si="98"/>
        <v>0</v>
      </c>
      <c r="K1057" s="724"/>
      <c r="L1057" s="1452">
        <v>1133749</v>
      </c>
      <c r="M1057" s="724">
        <f t="shared" si="99"/>
        <v>20826.814830603544</v>
      </c>
      <c r="N1057" s="1452">
        <v>1133749</v>
      </c>
      <c r="O1057" s="724">
        <f t="shared" si="100"/>
        <v>20826.814830603544</v>
      </c>
      <c r="P1057" s="724">
        <f t="shared" si="101"/>
        <v>0</v>
      </c>
      <c r="Q1057" s="674"/>
    </row>
    <row r="1058" spans="2:17">
      <c r="B1058" s="330"/>
      <c r="C1058" s="720">
        <f>IF(D1047="","-",+C1057+1)</f>
        <v>2020</v>
      </c>
      <c r="D1058" s="1269">
        <f t="shared" si="102"/>
        <v>6382295.3812499996</v>
      </c>
      <c r="E1058" s="726">
        <f t="shared" si="103"/>
        <v>162952.2225</v>
      </c>
      <c r="F1058" s="726">
        <f t="shared" si="96"/>
        <v>6219343.1587499995</v>
      </c>
      <c r="G1058" s="673">
        <f t="shared" si="97"/>
        <v>6300819.2699999996</v>
      </c>
      <c r="H1058" s="721">
        <f>+J1048*G1058+E1058</f>
        <v>1129576.9007382353</v>
      </c>
      <c r="I1058" s="727">
        <f>+J1049*G1058+E1058</f>
        <v>1129576.9007382353</v>
      </c>
      <c r="J1058" s="724">
        <f t="shared" si="98"/>
        <v>0</v>
      </c>
      <c r="K1058" s="724"/>
      <c r="L1058" s="728">
        <v>1092679.4201285779</v>
      </c>
      <c r="M1058" s="724">
        <f t="shared" si="99"/>
        <v>36897.480609657476</v>
      </c>
      <c r="N1058" s="1548">
        <v>1092679.4201285779</v>
      </c>
      <c r="O1058" s="724">
        <f t="shared" si="100"/>
        <v>36897.480609657476</v>
      </c>
      <c r="P1058" s="724">
        <f t="shared" si="101"/>
        <v>0</v>
      </c>
      <c r="Q1058" s="674"/>
    </row>
    <row r="1059" spans="2:17">
      <c r="B1059" s="330"/>
      <c r="C1059" s="720">
        <f>IF(D1047="","-",+C1058+1)</f>
        <v>2021</v>
      </c>
      <c r="D1059" s="1269">
        <f t="shared" si="102"/>
        <v>6219343.1587499995</v>
      </c>
      <c r="E1059" s="726">
        <f t="shared" si="103"/>
        <v>162952.2225</v>
      </c>
      <c r="F1059" s="726">
        <f t="shared" si="96"/>
        <v>6056390.9362499993</v>
      </c>
      <c r="G1059" s="673">
        <f t="shared" si="97"/>
        <v>6137867.0474999994</v>
      </c>
      <c r="H1059" s="721">
        <f>+J1048*G1059+E1059</f>
        <v>1104577.9866458671</v>
      </c>
      <c r="I1059" s="727">
        <f>+J1049*G1059+E1059</f>
        <v>1104577.9866458671</v>
      </c>
      <c r="J1059" s="724">
        <f t="shared" si="98"/>
        <v>0</v>
      </c>
      <c r="K1059" s="724"/>
      <c r="L1059" s="728">
        <v>1042816.9121376689</v>
      </c>
      <c r="M1059" s="724">
        <f t="shared" si="99"/>
        <v>61761.074508198188</v>
      </c>
      <c r="N1059" s="1548">
        <v>1042816.9121376689</v>
      </c>
      <c r="O1059" s="724">
        <f t="shared" si="100"/>
        <v>61761.074508198188</v>
      </c>
      <c r="P1059" s="724">
        <f t="shared" si="101"/>
        <v>0</v>
      </c>
      <c r="Q1059" s="674"/>
    </row>
    <row r="1060" spans="2:17">
      <c r="B1060" s="330"/>
      <c r="C1060" s="720">
        <f>IF(D1047="","-",+C1059+1)</f>
        <v>2022</v>
      </c>
      <c r="D1060" s="673">
        <f t="shared" si="102"/>
        <v>6056390.9362499993</v>
      </c>
      <c r="E1060" s="726">
        <f t="shared" si="103"/>
        <v>162952.2225</v>
      </c>
      <c r="F1060" s="726">
        <f t="shared" si="96"/>
        <v>5893438.7137499992</v>
      </c>
      <c r="G1060" s="673">
        <f t="shared" si="97"/>
        <v>5974914.8249999993</v>
      </c>
      <c r="H1060" s="721">
        <f>+J1048*G1060+E1060</f>
        <v>1079579.0725534989</v>
      </c>
      <c r="I1060" s="727">
        <f>+J1049*G1060+E1060</f>
        <v>1079579.0725534989</v>
      </c>
      <c r="J1060" s="724">
        <f t="shared" si="98"/>
        <v>0</v>
      </c>
      <c r="K1060" s="724"/>
      <c r="L1060" s="728">
        <v>0</v>
      </c>
      <c r="M1060" s="724">
        <f t="shared" si="99"/>
        <v>0</v>
      </c>
      <c r="N1060" s="728">
        <v>0</v>
      </c>
      <c r="O1060" s="724">
        <f t="shared" si="100"/>
        <v>0</v>
      </c>
      <c r="P1060" s="724">
        <f t="shared" si="101"/>
        <v>0</v>
      </c>
      <c r="Q1060" s="674"/>
    </row>
    <row r="1061" spans="2:17">
      <c r="B1061" s="330"/>
      <c r="C1061" s="720">
        <f>IF(D1047="","-",+C1060+1)</f>
        <v>2023</v>
      </c>
      <c r="D1061" s="673">
        <f t="shared" si="102"/>
        <v>5893438.7137499992</v>
      </c>
      <c r="E1061" s="726">
        <f t="shared" si="103"/>
        <v>162952.2225</v>
      </c>
      <c r="F1061" s="726">
        <f t="shared" si="96"/>
        <v>5730486.491249999</v>
      </c>
      <c r="G1061" s="673">
        <f t="shared" si="97"/>
        <v>5811962.6024999991</v>
      </c>
      <c r="H1061" s="721">
        <f>+J1048*G1061+E1061</f>
        <v>1054580.1584611307</v>
      </c>
      <c r="I1061" s="727">
        <f>+J1049*G1061+E1061</f>
        <v>1054580.1584611307</v>
      </c>
      <c r="J1061" s="724">
        <f t="shared" si="98"/>
        <v>0</v>
      </c>
      <c r="K1061" s="724"/>
      <c r="L1061" s="728">
        <v>0</v>
      </c>
      <c r="M1061" s="724">
        <f t="shared" si="99"/>
        <v>0</v>
      </c>
      <c r="N1061" s="728">
        <v>0</v>
      </c>
      <c r="O1061" s="724">
        <f t="shared" si="100"/>
        <v>0</v>
      </c>
      <c r="P1061" s="724">
        <f t="shared" si="101"/>
        <v>0</v>
      </c>
      <c r="Q1061" s="674"/>
    </row>
    <row r="1062" spans="2:17">
      <c r="B1062" s="330"/>
      <c r="C1062" s="1291">
        <f>IF(D1047="","-",+C1061+1)</f>
        <v>2024</v>
      </c>
      <c r="D1062" s="673">
        <f t="shared" si="102"/>
        <v>5730486.491249999</v>
      </c>
      <c r="E1062" s="726">
        <f t="shared" si="103"/>
        <v>162952.2225</v>
      </c>
      <c r="F1062" s="726">
        <f t="shared" si="96"/>
        <v>5567534.2687499989</v>
      </c>
      <c r="G1062" s="673">
        <f t="shared" si="97"/>
        <v>5649010.379999999</v>
      </c>
      <c r="H1062" s="721">
        <f>+J1048*G1062+E1062</f>
        <v>1029581.2443687626</v>
      </c>
      <c r="I1062" s="727">
        <f>+J1049*G1062+E1062</f>
        <v>1029581.2443687626</v>
      </c>
      <c r="J1062" s="724">
        <f t="shared" si="98"/>
        <v>0</v>
      </c>
      <c r="K1062" s="724"/>
      <c r="L1062" s="728">
        <v>0</v>
      </c>
      <c r="M1062" s="724">
        <f t="shared" si="99"/>
        <v>0</v>
      </c>
      <c r="N1062" s="728">
        <v>0</v>
      </c>
      <c r="O1062" s="724">
        <f t="shared" si="100"/>
        <v>0</v>
      </c>
      <c r="P1062" s="724">
        <f t="shared" si="101"/>
        <v>0</v>
      </c>
      <c r="Q1062" s="674"/>
    </row>
    <row r="1063" spans="2:17">
      <c r="B1063" s="330"/>
      <c r="C1063" s="720">
        <f>IF(D1047="","-",+C1062+1)</f>
        <v>2025</v>
      </c>
      <c r="D1063" s="673">
        <f t="shared" si="102"/>
        <v>5567534.2687499989</v>
      </c>
      <c r="E1063" s="726">
        <f t="shared" si="103"/>
        <v>162952.2225</v>
      </c>
      <c r="F1063" s="726">
        <f t="shared" si="96"/>
        <v>5404582.0462499987</v>
      </c>
      <c r="G1063" s="673">
        <f t="shared" si="97"/>
        <v>5486058.1574999988</v>
      </c>
      <c r="H1063" s="721">
        <f>+J1048*G1063+E1063</f>
        <v>1004582.3302763945</v>
      </c>
      <c r="I1063" s="727">
        <f>+J1049*G1063+E1063</f>
        <v>1004582.3302763945</v>
      </c>
      <c r="J1063" s="724">
        <f t="shared" si="98"/>
        <v>0</v>
      </c>
      <c r="K1063" s="724"/>
      <c r="L1063" s="728"/>
      <c r="M1063" s="724">
        <f t="shared" si="99"/>
        <v>0</v>
      </c>
      <c r="N1063" s="728"/>
      <c r="O1063" s="724">
        <f t="shared" si="100"/>
        <v>0</v>
      </c>
      <c r="P1063" s="724">
        <f t="shared" si="101"/>
        <v>0</v>
      </c>
      <c r="Q1063" s="674"/>
    </row>
    <row r="1064" spans="2:17">
      <c r="B1064" s="330"/>
      <c r="C1064" s="720">
        <f>IF(D1047="","-",+C1063+1)</f>
        <v>2026</v>
      </c>
      <c r="D1064" s="673">
        <f t="shared" si="102"/>
        <v>5404582.0462499987</v>
      </c>
      <c r="E1064" s="726">
        <f t="shared" si="103"/>
        <v>162952.2225</v>
      </c>
      <c r="F1064" s="726">
        <f t="shared" si="96"/>
        <v>5241629.8237499986</v>
      </c>
      <c r="G1064" s="673">
        <f t="shared" si="97"/>
        <v>5323105.9349999987</v>
      </c>
      <c r="H1064" s="721">
        <f>+J1048*G1064+E1064</f>
        <v>979583.41618402628</v>
      </c>
      <c r="I1064" s="727">
        <f>+J1049*G1064+E1064</f>
        <v>979583.41618402628</v>
      </c>
      <c r="J1064" s="724">
        <f t="shared" si="98"/>
        <v>0</v>
      </c>
      <c r="K1064" s="724"/>
      <c r="L1064" s="728"/>
      <c r="M1064" s="724">
        <f t="shared" si="99"/>
        <v>0</v>
      </c>
      <c r="N1064" s="728"/>
      <c r="O1064" s="724">
        <f t="shared" si="100"/>
        <v>0</v>
      </c>
      <c r="P1064" s="724">
        <f t="shared" si="101"/>
        <v>0</v>
      </c>
      <c r="Q1064" s="674"/>
    </row>
    <row r="1065" spans="2:17">
      <c r="B1065" s="330"/>
      <c r="C1065" s="720">
        <f>IF(D1047="","-",+C1064+1)</f>
        <v>2027</v>
      </c>
      <c r="D1065" s="673">
        <f t="shared" si="102"/>
        <v>5241629.8237499986</v>
      </c>
      <c r="E1065" s="726">
        <f t="shared" si="103"/>
        <v>162952.2225</v>
      </c>
      <c r="F1065" s="726">
        <f t="shared" si="96"/>
        <v>5078677.6012499984</v>
      </c>
      <c r="G1065" s="673">
        <f t="shared" si="97"/>
        <v>5160153.7124999985</v>
      </c>
      <c r="H1065" s="721">
        <f>+J1048*G1065+E1065</f>
        <v>954584.50209165807</v>
      </c>
      <c r="I1065" s="727">
        <f>+J1049*G1065+E1065</f>
        <v>954584.50209165807</v>
      </c>
      <c r="J1065" s="724">
        <f t="shared" si="98"/>
        <v>0</v>
      </c>
      <c r="K1065" s="724"/>
      <c r="L1065" s="728"/>
      <c r="M1065" s="724">
        <f t="shared" si="99"/>
        <v>0</v>
      </c>
      <c r="N1065" s="728"/>
      <c r="O1065" s="724">
        <f t="shared" si="100"/>
        <v>0</v>
      </c>
      <c r="P1065" s="724">
        <f t="shared" si="101"/>
        <v>0</v>
      </c>
      <c r="Q1065" s="674"/>
    </row>
    <row r="1066" spans="2:17">
      <c r="B1066" s="330"/>
      <c r="C1066" s="720">
        <f>IF(D1047="","-",+C1065+1)</f>
        <v>2028</v>
      </c>
      <c r="D1066" s="673">
        <f t="shared" si="102"/>
        <v>5078677.6012499984</v>
      </c>
      <c r="E1066" s="726">
        <f t="shared" si="103"/>
        <v>162952.2225</v>
      </c>
      <c r="F1066" s="726">
        <f t="shared" si="96"/>
        <v>4915725.3787499983</v>
      </c>
      <c r="G1066" s="673">
        <f t="shared" si="97"/>
        <v>4997201.4899999984</v>
      </c>
      <c r="H1066" s="721">
        <f>+J1048*G1066+E1066</f>
        <v>929585.58799928986</v>
      </c>
      <c r="I1066" s="727">
        <f>+J1049*G1066+E1066</f>
        <v>929585.58799928986</v>
      </c>
      <c r="J1066" s="724">
        <f t="shared" si="98"/>
        <v>0</v>
      </c>
      <c r="K1066" s="724"/>
      <c r="L1066" s="728"/>
      <c r="M1066" s="724">
        <f t="shared" si="99"/>
        <v>0</v>
      </c>
      <c r="N1066" s="728"/>
      <c r="O1066" s="724">
        <f t="shared" si="100"/>
        <v>0</v>
      </c>
      <c r="P1066" s="724">
        <f t="shared" si="101"/>
        <v>0</v>
      </c>
      <c r="Q1066" s="674"/>
    </row>
    <row r="1067" spans="2:17">
      <c r="B1067" s="330"/>
      <c r="C1067" s="720">
        <f>IF(D1047="","-",+C1066+1)</f>
        <v>2029</v>
      </c>
      <c r="D1067" s="673">
        <f t="shared" si="102"/>
        <v>4915725.3787499983</v>
      </c>
      <c r="E1067" s="726">
        <f t="shared" si="103"/>
        <v>162952.2225</v>
      </c>
      <c r="F1067" s="726">
        <f t="shared" si="96"/>
        <v>4752773.1562499981</v>
      </c>
      <c r="G1067" s="673">
        <f t="shared" si="97"/>
        <v>4834249.2674999982</v>
      </c>
      <c r="H1067" s="721">
        <f>+J1048*G1067+E1067</f>
        <v>904586.67390692176</v>
      </c>
      <c r="I1067" s="727">
        <f>+J1049*G1067+E1067</f>
        <v>904586.67390692176</v>
      </c>
      <c r="J1067" s="724">
        <f t="shared" si="98"/>
        <v>0</v>
      </c>
      <c r="K1067" s="724"/>
      <c r="L1067" s="728"/>
      <c r="M1067" s="724">
        <f t="shared" si="99"/>
        <v>0</v>
      </c>
      <c r="N1067" s="728"/>
      <c r="O1067" s="724">
        <f t="shared" si="100"/>
        <v>0</v>
      </c>
      <c r="P1067" s="724">
        <f t="shared" si="101"/>
        <v>0</v>
      </c>
      <c r="Q1067" s="674"/>
    </row>
    <row r="1068" spans="2:17">
      <c r="B1068" s="330"/>
      <c r="C1068" s="720">
        <f>IF(D1047="","-",+C1067+1)</f>
        <v>2030</v>
      </c>
      <c r="D1068" s="673">
        <f t="shared" si="102"/>
        <v>4752773.1562499981</v>
      </c>
      <c r="E1068" s="726">
        <f t="shared" si="103"/>
        <v>162952.2225</v>
      </c>
      <c r="F1068" s="726">
        <f t="shared" si="96"/>
        <v>4589820.933749998</v>
      </c>
      <c r="G1068" s="673">
        <f t="shared" si="97"/>
        <v>4671297.0449999981</v>
      </c>
      <c r="H1068" s="721">
        <f>+J1048*G1068+E1068</f>
        <v>879587.75981455354</v>
      </c>
      <c r="I1068" s="727">
        <f>+J1049*G1068+E1068</f>
        <v>879587.75981455354</v>
      </c>
      <c r="J1068" s="724">
        <f t="shared" si="98"/>
        <v>0</v>
      </c>
      <c r="K1068" s="724"/>
      <c r="L1068" s="728"/>
      <c r="M1068" s="724">
        <f t="shared" si="99"/>
        <v>0</v>
      </c>
      <c r="N1068" s="728"/>
      <c r="O1068" s="724">
        <f t="shared" si="100"/>
        <v>0</v>
      </c>
      <c r="P1068" s="724">
        <f t="shared" si="101"/>
        <v>0</v>
      </c>
      <c r="Q1068" s="674"/>
    </row>
    <row r="1069" spans="2:17">
      <c r="B1069" s="330"/>
      <c r="C1069" s="720">
        <f>IF(D1047="","-",+C1068+1)</f>
        <v>2031</v>
      </c>
      <c r="D1069" s="673">
        <f t="shared" si="102"/>
        <v>4589820.933749998</v>
      </c>
      <c r="E1069" s="726">
        <f t="shared" si="103"/>
        <v>162952.2225</v>
      </c>
      <c r="F1069" s="726">
        <f t="shared" si="96"/>
        <v>4426868.7112499978</v>
      </c>
      <c r="G1069" s="673">
        <f t="shared" si="97"/>
        <v>4508344.8224999979</v>
      </c>
      <c r="H1069" s="721">
        <f>+J1048*G1069+E1069</f>
        <v>854588.84572218533</v>
      </c>
      <c r="I1069" s="727">
        <f>+J1049*G1069+E1069</f>
        <v>854588.84572218533</v>
      </c>
      <c r="J1069" s="724">
        <f t="shared" si="98"/>
        <v>0</v>
      </c>
      <c r="K1069" s="724"/>
      <c r="L1069" s="728"/>
      <c r="M1069" s="724">
        <f t="shared" si="99"/>
        <v>0</v>
      </c>
      <c r="N1069" s="728"/>
      <c r="O1069" s="724">
        <f t="shared" si="100"/>
        <v>0</v>
      </c>
      <c r="P1069" s="724">
        <f t="shared" si="101"/>
        <v>0</v>
      </c>
      <c r="Q1069" s="674"/>
    </row>
    <row r="1070" spans="2:17">
      <c r="B1070" s="330"/>
      <c r="C1070" s="720">
        <f>IF(D1047="","-",+C1069+1)</f>
        <v>2032</v>
      </c>
      <c r="D1070" s="673">
        <f t="shared" si="102"/>
        <v>4426868.7112499978</v>
      </c>
      <c r="E1070" s="726">
        <f t="shared" si="103"/>
        <v>162952.2225</v>
      </c>
      <c r="F1070" s="726">
        <f t="shared" si="96"/>
        <v>4263916.4887499977</v>
      </c>
      <c r="G1070" s="673">
        <f t="shared" si="97"/>
        <v>4345392.5999999978</v>
      </c>
      <c r="H1070" s="721">
        <f>+J1048*G1070+E1070</f>
        <v>829589.93162981723</v>
      </c>
      <c r="I1070" s="727">
        <f>+J1049*G1070+E1070</f>
        <v>829589.93162981723</v>
      </c>
      <c r="J1070" s="724">
        <f t="shared" si="98"/>
        <v>0</v>
      </c>
      <c r="K1070" s="724"/>
      <c r="L1070" s="728"/>
      <c r="M1070" s="724">
        <f t="shared" si="99"/>
        <v>0</v>
      </c>
      <c r="N1070" s="728"/>
      <c r="O1070" s="724">
        <f t="shared" si="100"/>
        <v>0</v>
      </c>
      <c r="P1070" s="724">
        <f t="shared" si="101"/>
        <v>0</v>
      </c>
      <c r="Q1070" s="674"/>
    </row>
    <row r="1071" spans="2:17">
      <c r="B1071" s="330"/>
      <c r="C1071" s="720">
        <f>IF(D1047="","-",+C1070+1)</f>
        <v>2033</v>
      </c>
      <c r="D1071" s="673">
        <f t="shared" si="102"/>
        <v>4263916.4887499977</v>
      </c>
      <c r="E1071" s="726">
        <f t="shared" si="103"/>
        <v>162952.2225</v>
      </c>
      <c r="F1071" s="726">
        <f t="shared" si="96"/>
        <v>4100964.2662499975</v>
      </c>
      <c r="G1071" s="673">
        <f t="shared" si="97"/>
        <v>4182440.3774999976</v>
      </c>
      <c r="H1071" s="721">
        <f>+J1048*G1071+E1071</f>
        <v>804591.01753744902</v>
      </c>
      <c r="I1071" s="727">
        <f>+J1049*G1071+E1071</f>
        <v>804591.01753744902</v>
      </c>
      <c r="J1071" s="724">
        <f t="shared" si="98"/>
        <v>0</v>
      </c>
      <c r="K1071" s="724"/>
      <c r="L1071" s="728"/>
      <c r="M1071" s="724">
        <f t="shared" si="99"/>
        <v>0</v>
      </c>
      <c r="N1071" s="728"/>
      <c r="O1071" s="724">
        <f t="shared" si="100"/>
        <v>0</v>
      </c>
      <c r="P1071" s="724">
        <f t="shared" si="101"/>
        <v>0</v>
      </c>
      <c r="Q1071" s="674"/>
    </row>
    <row r="1072" spans="2:17">
      <c r="B1072" s="330"/>
      <c r="C1072" s="720">
        <f>IF(D1047="","-",+C1071+1)</f>
        <v>2034</v>
      </c>
      <c r="D1072" s="673">
        <f t="shared" si="102"/>
        <v>4100964.2662499975</v>
      </c>
      <c r="E1072" s="726">
        <f t="shared" si="103"/>
        <v>162952.2225</v>
      </c>
      <c r="F1072" s="726">
        <f t="shared" si="96"/>
        <v>3938012.0437499974</v>
      </c>
      <c r="G1072" s="673">
        <f t="shared" si="97"/>
        <v>4019488.1549999975</v>
      </c>
      <c r="H1072" s="721">
        <f>+J1048*G1072+E1072</f>
        <v>779592.10344508081</v>
      </c>
      <c r="I1072" s="727">
        <f>+J1049*G1072+E1072</f>
        <v>779592.10344508081</v>
      </c>
      <c r="J1072" s="724">
        <f t="shared" si="98"/>
        <v>0</v>
      </c>
      <c r="K1072" s="724"/>
      <c r="L1072" s="728"/>
      <c r="M1072" s="724">
        <f t="shared" si="99"/>
        <v>0</v>
      </c>
      <c r="N1072" s="728"/>
      <c r="O1072" s="724">
        <f t="shared" si="100"/>
        <v>0</v>
      </c>
      <c r="P1072" s="724">
        <f t="shared" si="101"/>
        <v>0</v>
      </c>
      <c r="Q1072" s="674"/>
    </row>
    <row r="1073" spans="2:17">
      <c r="B1073" s="330"/>
      <c r="C1073" s="720">
        <f>IF(D1047="","-",+C1072+1)</f>
        <v>2035</v>
      </c>
      <c r="D1073" s="673">
        <f t="shared" si="102"/>
        <v>3938012.0437499974</v>
      </c>
      <c r="E1073" s="726">
        <f t="shared" si="103"/>
        <v>162952.2225</v>
      </c>
      <c r="F1073" s="726">
        <f t="shared" si="96"/>
        <v>3775059.8212499972</v>
      </c>
      <c r="G1073" s="673">
        <f t="shared" si="97"/>
        <v>3856535.9324999973</v>
      </c>
      <c r="H1073" s="721">
        <f>+J1048*G1073+E1073</f>
        <v>754593.18935271271</v>
      </c>
      <c r="I1073" s="727">
        <f>+J1049*G1073+E1073</f>
        <v>754593.18935271271</v>
      </c>
      <c r="J1073" s="724">
        <f t="shared" si="98"/>
        <v>0</v>
      </c>
      <c r="K1073" s="724"/>
      <c r="L1073" s="728"/>
      <c r="M1073" s="724">
        <f t="shared" si="99"/>
        <v>0</v>
      </c>
      <c r="N1073" s="728"/>
      <c r="O1073" s="724">
        <f t="shared" si="100"/>
        <v>0</v>
      </c>
      <c r="P1073" s="724">
        <f t="shared" si="101"/>
        <v>0</v>
      </c>
      <c r="Q1073" s="674"/>
    </row>
    <row r="1074" spans="2:17">
      <c r="B1074" s="330"/>
      <c r="C1074" s="720">
        <f>IF(D1047="","-",+C1073+1)</f>
        <v>2036</v>
      </c>
      <c r="D1074" s="673">
        <f t="shared" si="102"/>
        <v>3775059.8212499972</v>
      </c>
      <c r="E1074" s="726">
        <f t="shared" si="103"/>
        <v>162952.2225</v>
      </c>
      <c r="F1074" s="726">
        <f t="shared" si="96"/>
        <v>3612107.5987499971</v>
      </c>
      <c r="G1074" s="673">
        <f t="shared" si="97"/>
        <v>3693583.7099999972</v>
      </c>
      <c r="H1074" s="721">
        <f>+J1048*G1074+E1074</f>
        <v>729594.2752603445</v>
      </c>
      <c r="I1074" s="727">
        <f>+J1049*G1074+E1074</f>
        <v>729594.2752603445</v>
      </c>
      <c r="J1074" s="724">
        <f t="shared" si="98"/>
        <v>0</v>
      </c>
      <c r="K1074" s="724"/>
      <c r="L1074" s="728"/>
      <c r="M1074" s="724">
        <f t="shared" si="99"/>
        <v>0</v>
      </c>
      <c r="N1074" s="728"/>
      <c r="O1074" s="724">
        <f t="shared" si="100"/>
        <v>0</v>
      </c>
      <c r="P1074" s="724">
        <f t="shared" si="101"/>
        <v>0</v>
      </c>
      <c r="Q1074" s="674"/>
    </row>
    <row r="1075" spans="2:17">
      <c r="B1075" s="330"/>
      <c r="C1075" s="720">
        <f>IF(D1047="","-",+C1074+1)</f>
        <v>2037</v>
      </c>
      <c r="D1075" s="673">
        <f t="shared" si="102"/>
        <v>3612107.5987499971</v>
      </c>
      <c r="E1075" s="726">
        <f t="shared" si="103"/>
        <v>162952.2225</v>
      </c>
      <c r="F1075" s="726">
        <f t="shared" si="96"/>
        <v>3449155.3762499969</v>
      </c>
      <c r="G1075" s="673">
        <f t="shared" si="97"/>
        <v>3530631.487499997</v>
      </c>
      <c r="H1075" s="721">
        <f>+J1048*G1075+E1075</f>
        <v>704595.36116797628</v>
      </c>
      <c r="I1075" s="727">
        <f>+J1049*G1075+E1075</f>
        <v>704595.36116797628</v>
      </c>
      <c r="J1075" s="724">
        <f t="shared" si="98"/>
        <v>0</v>
      </c>
      <c r="K1075" s="724"/>
      <c r="L1075" s="728"/>
      <c r="M1075" s="724">
        <f t="shared" si="99"/>
        <v>0</v>
      </c>
      <c r="N1075" s="728"/>
      <c r="O1075" s="724">
        <f t="shared" si="100"/>
        <v>0</v>
      </c>
      <c r="P1075" s="724">
        <f t="shared" si="101"/>
        <v>0</v>
      </c>
      <c r="Q1075" s="674"/>
    </row>
    <row r="1076" spans="2:17">
      <c r="B1076" s="330"/>
      <c r="C1076" s="720">
        <f>IF(D1047="","-",+C1075+1)</f>
        <v>2038</v>
      </c>
      <c r="D1076" s="673">
        <f t="shared" si="102"/>
        <v>3449155.3762499969</v>
      </c>
      <c r="E1076" s="726">
        <f t="shared" si="103"/>
        <v>162952.2225</v>
      </c>
      <c r="F1076" s="726">
        <f t="shared" si="96"/>
        <v>3286203.1537499968</v>
      </c>
      <c r="G1076" s="673">
        <f t="shared" si="97"/>
        <v>3367679.2649999969</v>
      </c>
      <c r="H1076" s="721">
        <f>+J1048*G1076+E1076</f>
        <v>679596.44707560807</v>
      </c>
      <c r="I1076" s="727">
        <f>+J1049*G1076+E1076</f>
        <v>679596.44707560807</v>
      </c>
      <c r="J1076" s="724">
        <f t="shared" si="98"/>
        <v>0</v>
      </c>
      <c r="K1076" s="724"/>
      <c r="L1076" s="728"/>
      <c r="M1076" s="724">
        <f t="shared" si="99"/>
        <v>0</v>
      </c>
      <c r="N1076" s="728"/>
      <c r="O1076" s="724">
        <f t="shared" si="100"/>
        <v>0</v>
      </c>
      <c r="P1076" s="724">
        <f t="shared" si="101"/>
        <v>0</v>
      </c>
      <c r="Q1076" s="674"/>
    </row>
    <row r="1077" spans="2:17">
      <c r="B1077" s="330"/>
      <c r="C1077" s="720">
        <f>IF(D1047="","-",+C1076+1)</f>
        <v>2039</v>
      </c>
      <c r="D1077" s="673">
        <f t="shared" si="102"/>
        <v>3286203.1537499968</v>
      </c>
      <c r="E1077" s="726">
        <f t="shared" si="103"/>
        <v>162952.2225</v>
      </c>
      <c r="F1077" s="726">
        <f t="shared" si="96"/>
        <v>3123250.9312499966</v>
      </c>
      <c r="G1077" s="673">
        <f t="shared" si="97"/>
        <v>3204727.0424999967</v>
      </c>
      <c r="H1077" s="721">
        <f>+J1048*G1077+E1077</f>
        <v>654597.53298323986</v>
      </c>
      <c r="I1077" s="727">
        <f>+J1049*G1077+E1077</f>
        <v>654597.53298323986</v>
      </c>
      <c r="J1077" s="724">
        <f t="shared" si="98"/>
        <v>0</v>
      </c>
      <c r="K1077" s="724"/>
      <c r="L1077" s="728"/>
      <c r="M1077" s="724">
        <f t="shared" si="99"/>
        <v>0</v>
      </c>
      <c r="N1077" s="728"/>
      <c r="O1077" s="724">
        <f t="shared" si="100"/>
        <v>0</v>
      </c>
      <c r="P1077" s="724">
        <f t="shared" si="101"/>
        <v>0</v>
      </c>
      <c r="Q1077" s="674"/>
    </row>
    <row r="1078" spans="2:17">
      <c r="B1078" s="330"/>
      <c r="C1078" s="720">
        <f>IF(D1047="","-",+C1077+1)</f>
        <v>2040</v>
      </c>
      <c r="D1078" s="673">
        <f t="shared" si="102"/>
        <v>3123250.9312499966</v>
      </c>
      <c r="E1078" s="726">
        <f t="shared" si="103"/>
        <v>162952.2225</v>
      </c>
      <c r="F1078" s="726">
        <f t="shared" si="96"/>
        <v>2960298.7087499965</v>
      </c>
      <c r="G1078" s="673">
        <f t="shared" si="97"/>
        <v>3041774.8199999966</v>
      </c>
      <c r="H1078" s="721">
        <f>+J1048*G1078+E1078</f>
        <v>629598.61889087176</v>
      </c>
      <c r="I1078" s="727">
        <f>+J1049*G1078+E1078</f>
        <v>629598.61889087176</v>
      </c>
      <c r="J1078" s="724">
        <f t="shared" si="98"/>
        <v>0</v>
      </c>
      <c r="K1078" s="724"/>
      <c r="L1078" s="728"/>
      <c r="M1078" s="724">
        <f t="shared" si="99"/>
        <v>0</v>
      </c>
      <c r="N1078" s="728"/>
      <c r="O1078" s="724">
        <f t="shared" si="100"/>
        <v>0</v>
      </c>
      <c r="P1078" s="724">
        <f t="shared" si="101"/>
        <v>0</v>
      </c>
      <c r="Q1078" s="674"/>
    </row>
    <row r="1079" spans="2:17">
      <c r="B1079" s="330"/>
      <c r="C1079" s="720">
        <f>IF(D1047="","-",+C1078+1)</f>
        <v>2041</v>
      </c>
      <c r="D1079" s="673">
        <f t="shared" si="102"/>
        <v>2960298.7087499965</v>
      </c>
      <c r="E1079" s="726">
        <f t="shared" si="103"/>
        <v>162952.2225</v>
      </c>
      <c r="F1079" s="726">
        <f t="shared" si="96"/>
        <v>2797346.4862499963</v>
      </c>
      <c r="G1079" s="673">
        <f t="shared" si="97"/>
        <v>2878822.5974999964</v>
      </c>
      <c r="H1079" s="721">
        <f>+J1048*G1079+E1079</f>
        <v>604599.70479850355</v>
      </c>
      <c r="I1079" s="727">
        <f>+J1049*G1079+E1079</f>
        <v>604599.70479850355</v>
      </c>
      <c r="J1079" s="724">
        <f t="shared" si="98"/>
        <v>0</v>
      </c>
      <c r="K1079" s="724"/>
      <c r="L1079" s="728"/>
      <c r="M1079" s="724">
        <f t="shared" si="99"/>
        <v>0</v>
      </c>
      <c r="N1079" s="728"/>
      <c r="O1079" s="724">
        <f t="shared" si="100"/>
        <v>0</v>
      </c>
      <c r="P1079" s="724">
        <f t="shared" si="101"/>
        <v>0</v>
      </c>
      <c r="Q1079" s="674"/>
    </row>
    <row r="1080" spans="2:17">
      <c r="B1080" s="330"/>
      <c r="C1080" s="720">
        <f>IF(D1047="","-",+C1079+1)</f>
        <v>2042</v>
      </c>
      <c r="D1080" s="673">
        <f t="shared" si="102"/>
        <v>2797346.4862499963</v>
      </c>
      <c r="E1080" s="726">
        <f t="shared" si="103"/>
        <v>162952.2225</v>
      </c>
      <c r="F1080" s="726">
        <f t="shared" si="96"/>
        <v>2634394.2637499962</v>
      </c>
      <c r="G1080" s="673">
        <f t="shared" si="97"/>
        <v>2715870.3749999963</v>
      </c>
      <c r="H1080" s="721">
        <f>+J1048*G1080+E1080</f>
        <v>579600.79070613533</v>
      </c>
      <c r="I1080" s="727">
        <f>+J1049*G1080+E1080</f>
        <v>579600.79070613533</v>
      </c>
      <c r="J1080" s="724">
        <f t="shared" si="98"/>
        <v>0</v>
      </c>
      <c r="K1080" s="724"/>
      <c r="L1080" s="728"/>
      <c r="M1080" s="724">
        <f t="shared" si="99"/>
        <v>0</v>
      </c>
      <c r="N1080" s="728"/>
      <c r="O1080" s="724">
        <f t="shared" si="100"/>
        <v>0</v>
      </c>
      <c r="P1080" s="724">
        <f t="shared" si="101"/>
        <v>0</v>
      </c>
      <c r="Q1080" s="674"/>
    </row>
    <row r="1081" spans="2:17">
      <c r="B1081" s="330"/>
      <c r="C1081" s="720">
        <f>IF(D1047="","-",+C1080+1)</f>
        <v>2043</v>
      </c>
      <c r="D1081" s="673">
        <f t="shared" si="102"/>
        <v>2634394.2637499962</v>
      </c>
      <c r="E1081" s="726">
        <f t="shared" si="103"/>
        <v>162952.2225</v>
      </c>
      <c r="F1081" s="726">
        <f t="shared" si="96"/>
        <v>2471442.0412499961</v>
      </c>
      <c r="G1081" s="673">
        <f t="shared" si="97"/>
        <v>2552918.1524999961</v>
      </c>
      <c r="H1081" s="721">
        <f>+J1048*G1081+E1081</f>
        <v>554601.87661376724</v>
      </c>
      <c r="I1081" s="727">
        <f>+J1049*G1081+E1081</f>
        <v>554601.87661376724</v>
      </c>
      <c r="J1081" s="724">
        <f t="shared" si="98"/>
        <v>0</v>
      </c>
      <c r="K1081" s="724"/>
      <c r="L1081" s="728"/>
      <c r="M1081" s="724">
        <f t="shared" si="99"/>
        <v>0</v>
      </c>
      <c r="N1081" s="728"/>
      <c r="O1081" s="724">
        <f t="shared" si="100"/>
        <v>0</v>
      </c>
      <c r="P1081" s="724">
        <f t="shared" si="101"/>
        <v>0</v>
      </c>
      <c r="Q1081" s="674"/>
    </row>
    <row r="1082" spans="2:17">
      <c r="B1082" s="330"/>
      <c r="C1082" s="720">
        <f>IF(D1047="","-",+C1081+1)</f>
        <v>2044</v>
      </c>
      <c r="D1082" s="673">
        <f t="shared" si="102"/>
        <v>2471442.0412499961</v>
      </c>
      <c r="E1082" s="726">
        <f t="shared" si="103"/>
        <v>162952.2225</v>
      </c>
      <c r="F1082" s="726">
        <f t="shared" si="96"/>
        <v>2308489.8187499959</v>
      </c>
      <c r="G1082" s="673">
        <f t="shared" si="97"/>
        <v>2389965.929999996</v>
      </c>
      <c r="H1082" s="721">
        <f>+J1048*G1082+E1082</f>
        <v>529602.96252139902</v>
      </c>
      <c r="I1082" s="727">
        <f>+J1049*G1082+E1082</f>
        <v>529602.96252139902</v>
      </c>
      <c r="J1082" s="724">
        <f t="shared" si="98"/>
        <v>0</v>
      </c>
      <c r="K1082" s="724"/>
      <c r="L1082" s="728"/>
      <c r="M1082" s="724">
        <f t="shared" si="99"/>
        <v>0</v>
      </c>
      <c r="N1082" s="728"/>
      <c r="O1082" s="724">
        <f t="shared" si="100"/>
        <v>0</v>
      </c>
      <c r="P1082" s="724">
        <f t="shared" si="101"/>
        <v>0</v>
      </c>
      <c r="Q1082" s="674"/>
    </row>
    <row r="1083" spans="2:17">
      <c r="B1083" s="330"/>
      <c r="C1083" s="720">
        <f>IF(D1047="","-",+C1082+1)</f>
        <v>2045</v>
      </c>
      <c r="D1083" s="673">
        <f t="shared" si="102"/>
        <v>2308489.8187499959</v>
      </c>
      <c r="E1083" s="726">
        <f t="shared" si="103"/>
        <v>162952.2225</v>
      </c>
      <c r="F1083" s="726">
        <f t="shared" si="96"/>
        <v>2145537.5962499958</v>
      </c>
      <c r="G1083" s="673">
        <f t="shared" si="97"/>
        <v>2227013.7074999958</v>
      </c>
      <c r="H1083" s="721">
        <f>+J1048*G1083+E1083</f>
        <v>504604.04842903081</v>
      </c>
      <c r="I1083" s="727">
        <f>+J1049*G1083+E1083</f>
        <v>504604.04842903081</v>
      </c>
      <c r="J1083" s="724">
        <f t="shared" si="98"/>
        <v>0</v>
      </c>
      <c r="K1083" s="724"/>
      <c r="L1083" s="728"/>
      <c r="M1083" s="724">
        <f t="shared" si="99"/>
        <v>0</v>
      </c>
      <c r="N1083" s="728"/>
      <c r="O1083" s="724">
        <f t="shared" si="100"/>
        <v>0</v>
      </c>
      <c r="P1083" s="724">
        <f t="shared" si="101"/>
        <v>0</v>
      </c>
      <c r="Q1083" s="674"/>
    </row>
    <row r="1084" spans="2:17">
      <c r="B1084" s="330"/>
      <c r="C1084" s="720">
        <f>IF(D1047="","-",+C1083+1)</f>
        <v>2046</v>
      </c>
      <c r="D1084" s="673">
        <f t="shared" si="102"/>
        <v>2145537.5962499958</v>
      </c>
      <c r="E1084" s="726">
        <f t="shared" si="103"/>
        <v>162952.2225</v>
      </c>
      <c r="F1084" s="726">
        <f t="shared" si="96"/>
        <v>1982585.3737499958</v>
      </c>
      <c r="G1084" s="673">
        <f t="shared" si="97"/>
        <v>2064061.4849999957</v>
      </c>
      <c r="H1084" s="721">
        <f>+J1048*G1084+E1084</f>
        <v>479605.13433666271</v>
      </c>
      <c r="I1084" s="727">
        <f>+J1049*G1084+E1084</f>
        <v>479605.13433666271</v>
      </c>
      <c r="J1084" s="724">
        <f t="shared" si="98"/>
        <v>0</v>
      </c>
      <c r="K1084" s="724"/>
      <c r="L1084" s="728"/>
      <c r="M1084" s="724">
        <f t="shared" si="99"/>
        <v>0</v>
      </c>
      <c r="N1084" s="728"/>
      <c r="O1084" s="724">
        <f t="shared" si="100"/>
        <v>0</v>
      </c>
      <c r="P1084" s="724">
        <f t="shared" si="101"/>
        <v>0</v>
      </c>
      <c r="Q1084" s="674"/>
    </row>
    <row r="1085" spans="2:17">
      <c r="B1085" s="330"/>
      <c r="C1085" s="720">
        <f>IF(D1047="","-",+C1084+1)</f>
        <v>2047</v>
      </c>
      <c r="D1085" s="673">
        <f t="shared" si="102"/>
        <v>1982585.3737499958</v>
      </c>
      <c r="E1085" s="726">
        <f t="shared" si="103"/>
        <v>162952.2225</v>
      </c>
      <c r="F1085" s="726">
        <f t="shared" si="96"/>
        <v>1819633.1512499959</v>
      </c>
      <c r="G1085" s="673">
        <f t="shared" si="97"/>
        <v>1901109.262499996</v>
      </c>
      <c r="H1085" s="721">
        <f>+J1048*G1085+E1085</f>
        <v>454606.2202442945</v>
      </c>
      <c r="I1085" s="727">
        <f>+J1049*G1085+E1085</f>
        <v>454606.2202442945</v>
      </c>
      <c r="J1085" s="724">
        <f t="shared" si="98"/>
        <v>0</v>
      </c>
      <c r="K1085" s="724"/>
      <c r="L1085" s="728"/>
      <c r="M1085" s="724">
        <f t="shared" si="99"/>
        <v>0</v>
      </c>
      <c r="N1085" s="728"/>
      <c r="O1085" s="724">
        <f t="shared" si="100"/>
        <v>0</v>
      </c>
      <c r="P1085" s="724">
        <f t="shared" si="101"/>
        <v>0</v>
      </c>
      <c r="Q1085" s="674"/>
    </row>
    <row r="1086" spans="2:17">
      <c r="B1086" s="330"/>
      <c r="C1086" s="720">
        <f>IF(D1047="","-",+C1085+1)</f>
        <v>2048</v>
      </c>
      <c r="D1086" s="673">
        <f t="shared" si="102"/>
        <v>1819633.1512499959</v>
      </c>
      <c r="E1086" s="726">
        <f t="shared" si="103"/>
        <v>162952.2225</v>
      </c>
      <c r="F1086" s="726">
        <f t="shared" si="96"/>
        <v>1656680.928749996</v>
      </c>
      <c r="G1086" s="673">
        <f t="shared" si="97"/>
        <v>1738157.0399999958</v>
      </c>
      <c r="H1086" s="721">
        <f>+J1048*G1086+E1086</f>
        <v>429607.3061519264</v>
      </c>
      <c r="I1086" s="727">
        <f>+J1049*G1086+E1086</f>
        <v>429607.3061519264</v>
      </c>
      <c r="J1086" s="724">
        <f t="shared" si="98"/>
        <v>0</v>
      </c>
      <c r="K1086" s="724"/>
      <c r="L1086" s="728"/>
      <c r="M1086" s="724">
        <f t="shared" si="99"/>
        <v>0</v>
      </c>
      <c r="N1086" s="728"/>
      <c r="O1086" s="724">
        <f t="shared" si="100"/>
        <v>0</v>
      </c>
      <c r="P1086" s="724">
        <f t="shared" si="101"/>
        <v>0</v>
      </c>
      <c r="Q1086" s="674"/>
    </row>
    <row r="1087" spans="2:17">
      <c r="B1087" s="330"/>
      <c r="C1087" s="720">
        <f>IF(D1047="","-",+C1086+1)</f>
        <v>2049</v>
      </c>
      <c r="D1087" s="673">
        <f t="shared" si="102"/>
        <v>1656680.928749996</v>
      </c>
      <c r="E1087" s="726">
        <f t="shared" si="103"/>
        <v>162952.2225</v>
      </c>
      <c r="F1087" s="726">
        <f t="shared" si="96"/>
        <v>1493728.7062499961</v>
      </c>
      <c r="G1087" s="673">
        <f t="shared" si="97"/>
        <v>1575204.8174999962</v>
      </c>
      <c r="H1087" s="721">
        <f>+J1048*G1087+E1087</f>
        <v>404608.3920595583</v>
      </c>
      <c r="I1087" s="727">
        <f>+J1049*G1087+E1087</f>
        <v>404608.3920595583</v>
      </c>
      <c r="J1087" s="724">
        <f t="shared" si="98"/>
        <v>0</v>
      </c>
      <c r="K1087" s="724"/>
      <c r="L1087" s="728"/>
      <c r="M1087" s="724">
        <f t="shared" si="99"/>
        <v>0</v>
      </c>
      <c r="N1087" s="728"/>
      <c r="O1087" s="724">
        <f t="shared" si="100"/>
        <v>0</v>
      </c>
      <c r="P1087" s="724">
        <f t="shared" si="101"/>
        <v>0</v>
      </c>
      <c r="Q1087" s="674"/>
    </row>
    <row r="1088" spans="2:17">
      <c r="B1088" s="330"/>
      <c r="C1088" s="720">
        <f>IF(D1047="","-",+C1087+1)</f>
        <v>2050</v>
      </c>
      <c r="D1088" s="673">
        <f t="shared" si="102"/>
        <v>1493728.7062499961</v>
      </c>
      <c r="E1088" s="726">
        <f t="shared" si="103"/>
        <v>162952.2225</v>
      </c>
      <c r="F1088" s="726">
        <f t="shared" si="96"/>
        <v>1330776.4837499962</v>
      </c>
      <c r="G1088" s="673">
        <f t="shared" si="97"/>
        <v>1412252.594999996</v>
      </c>
      <c r="H1088" s="721">
        <f>+J1048*G1088+E1088</f>
        <v>379609.47796719009</v>
      </c>
      <c r="I1088" s="727">
        <f>+J1049*G1088+E1088</f>
        <v>379609.47796719009</v>
      </c>
      <c r="J1088" s="724">
        <f t="shared" si="98"/>
        <v>0</v>
      </c>
      <c r="K1088" s="724"/>
      <c r="L1088" s="728"/>
      <c r="M1088" s="724">
        <f t="shared" si="99"/>
        <v>0</v>
      </c>
      <c r="N1088" s="728"/>
      <c r="O1088" s="724">
        <f t="shared" si="100"/>
        <v>0</v>
      </c>
      <c r="P1088" s="724">
        <f t="shared" si="101"/>
        <v>0</v>
      </c>
      <c r="Q1088" s="674"/>
    </row>
    <row r="1089" spans="2:17">
      <c r="B1089" s="330"/>
      <c r="C1089" s="720">
        <f>IF(D1047="","-",+C1088+1)</f>
        <v>2051</v>
      </c>
      <c r="D1089" s="673">
        <f t="shared" si="102"/>
        <v>1330776.4837499962</v>
      </c>
      <c r="E1089" s="726">
        <f t="shared" si="103"/>
        <v>162952.2225</v>
      </c>
      <c r="F1089" s="726">
        <f t="shared" si="96"/>
        <v>1167824.2612499963</v>
      </c>
      <c r="G1089" s="673">
        <f t="shared" si="97"/>
        <v>1249300.3724999963</v>
      </c>
      <c r="H1089" s="721">
        <f>+J1048*G1089+E1089</f>
        <v>354610.56387482199</v>
      </c>
      <c r="I1089" s="727">
        <f>+J1049*G1089+E1089</f>
        <v>354610.56387482199</v>
      </c>
      <c r="J1089" s="724">
        <f t="shared" si="98"/>
        <v>0</v>
      </c>
      <c r="K1089" s="724"/>
      <c r="L1089" s="728"/>
      <c r="M1089" s="724">
        <f t="shared" si="99"/>
        <v>0</v>
      </c>
      <c r="N1089" s="728"/>
      <c r="O1089" s="724">
        <f t="shared" si="100"/>
        <v>0</v>
      </c>
      <c r="P1089" s="724">
        <f t="shared" si="101"/>
        <v>0</v>
      </c>
      <c r="Q1089" s="674"/>
    </row>
    <row r="1090" spans="2:17">
      <c r="B1090" s="330"/>
      <c r="C1090" s="720">
        <f>IF(D1047="","-",+C1089+1)</f>
        <v>2052</v>
      </c>
      <c r="D1090" s="673">
        <f t="shared" si="102"/>
        <v>1167824.2612499963</v>
      </c>
      <c r="E1090" s="726">
        <f t="shared" si="103"/>
        <v>162952.2225</v>
      </c>
      <c r="F1090" s="726">
        <f t="shared" si="96"/>
        <v>1004872.0387499962</v>
      </c>
      <c r="G1090" s="673">
        <f t="shared" si="97"/>
        <v>1086348.1499999962</v>
      </c>
      <c r="H1090" s="721">
        <f>+J1048*G1090+E1090</f>
        <v>329611.64978245378</v>
      </c>
      <c r="I1090" s="727">
        <f>+J1049*G1090+E1090</f>
        <v>329611.64978245378</v>
      </c>
      <c r="J1090" s="724">
        <f t="shared" si="98"/>
        <v>0</v>
      </c>
      <c r="K1090" s="724"/>
      <c r="L1090" s="728"/>
      <c r="M1090" s="724">
        <f t="shared" si="99"/>
        <v>0</v>
      </c>
      <c r="N1090" s="728"/>
      <c r="O1090" s="724">
        <f t="shared" si="100"/>
        <v>0</v>
      </c>
      <c r="P1090" s="724">
        <f t="shared" si="101"/>
        <v>0</v>
      </c>
      <c r="Q1090" s="674"/>
    </row>
    <row r="1091" spans="2:17">
      <c r="B1091" s="330"/>
      <c r="C1091" s="720">
        <f>IF(D1047="","-",+C1090+1)</f>
        <v>2053</v>
      </c>
      <c r="D1091" s="673">
        <f t="shared" si="102"/>
        <v>1004872.0387499962</v>
      </c>
      <c r="E1091" s="726">
        <f t="shared" si="103"/>
        <v>162952.2225</v>
      </c>
      <c r="F1091" s="726">
        <f t="shared" si="96"/>
        <v>841919.81624999619</v>
      </c>
      <c r="G1091" s="673">
        <f t="shared" si="97"/>
        <v>923395.92749999627</v>
      </c>
      <c r="H1091" s="721">
        <f>+J1048*G1091+E1091</f>
        <v>304612.73569008568</v>
      </c>
      <c r="I1091" s="727">
        <f>+J1049*G1091+E1091</f>
        <v>304612.73569008568</v>
      </c>
      <c r="J1091" s="724">
        <f t="shared" si="98"/>
        <v>0</v>
      </c>
      <c r="K1091" s="724"/>
      <c r="L1091" s="728"/>
      <c r="M1091" s="724">
        <f t="shared" si="99"/>
        <v>0</v>
      </c>
      <c r="N1091" s="728"/>
      <c r="O1091" s="724">
        <f t="shared" si="100"/>
        <v>0</v>
      </c>
      <c r="P1091" s="724">
        <f t="shared" si="101"/>
        <v>0</v>
      </c>
      <c r="Q1091" s="674"/>
    </row>
    <row r="1092" spans="2:17">
      <c r="B1092" s="330"/>
      <c r="C1092" s="720">
        <f>IF(D1047="","-",+C1091+1)</f>
        <v>2054</v>
      </c>
      <c r="D1092" s="673">
        <f t="shared" si="102"/>
        <v>841919.81624999619</v>
      </c>
      <c r="E1092" s="726">
        <f t="shared" si="103"/>
        <v>162952.2225</v>
      </c>
      <c r="F1092" s="726">
        <f t="shared" si="96"/>
        <v>678967.59374999616</v>
      </c>
      <c r="G1092" s="673">
        <f t="shared" si="97"/>
        <v>760443.70499999612</v>
      </c>
      <c r="H1092" s="721">
        <f>+J1048*G1092+E1092</f>
        <v>279613.82159771747</v>
      </c>
      <c r="I1092" s="727">
        <f>+J1049*G1092+E1092</f>
        <v>279613.82159771747</v>
      </c>
      <c r="J1092" s="724">
        <f t="shared" si="98"/>
        <v>0</v>
      </c>
      <c r="K1092" s="724"/>
      <c r="L1092" s="728"/>
      <c r="M1092" s="724">
        <f t="shared" si="99"/>
        <v>0</v>
      </c>
      <c r="N1092" s="728"/>
      <c r="O1092" s="724">
        <f t="shared" si="100"/>
        <v>0</v>
      </c>
      <c r="P1092" s="724">
        <f t="shared" si="101"/>
        <v>0</v>
      </c>
      <c r="Q1092" s="674"/>
    </row>
    <row r="1093" spans="2:17">
      <c r="B1093" s="330"/>
      <c r="C1093" s="720">
        <f>IF(D1047="","-",+C1092+1)</f>
        <v>2055</v>
      </c>
      <c r="D1093" s="673">
        <f t="shared" si="102"/>
        <v>678967.59374999616</v>
      </c>
      <c r="E1093" s="726">
        <f t="shared" si="103"/>
        <v>162952.2225</v>
      </c>
      <c r="F1093" s="726">
        <f t="shared" si="96"/>
        <v>516015.37124999613</v>
      </c>
      <c r="G1093" s="673">
        <f t="shared" si="97"/>
        <v>597491.4824999962</v>
      </c>
      <c r="H1093" s="721">
        <f>+J1048*G1093+E1093</f>
        <v>254614.90750534931</v>
      </c>
      <c r="I1093" s="727">
        <f>+J1049*G1093+E1093</f>
        <v>254614.90750534931</v>
      </c>
      <c r="J1093" s="724">
        <f t="shared" si="98"/>
        <v>0</v>
      </c>
      <c r="K1093" s="724"/>
      <c r="L1093" s="728"/>
      <c r="M1093" s="724">
        <f t="shared" si="99"/>
        <v>0</v>
      </c>
      <c r="N1093" s="728"/>
      <c r="O1093" s="724">
        <f t="shared" si="100"/>
        <v>0</v>
      </c>
      <c r="P1093" s="724">
        <f t="shared" si="101"/>
        <v>0</v>
      </c>
      <c r="Q1093" s="674"/>
    </row>
    <row r="1094" spans="2:17">
      <c r="B1094" s="330"/>
      <c r="C1094" s="720">
        <f>IF(D1047="","-",+C1093+1)</f>
        <v>2056</v>
      </c>
      <c r="D1094" s="673">
        <f t="shared" si="102"/>
        <v>516015.37124999613</v>
      </c>
      <c r="E1094" s="726">
        <f t="shared" si="103"/>
        <v>162952.2225</v>
      </c>
      <c r="F1094" s="726">
        <f t="shared" si="96"/>
        <v>353063.14874999609</v>
      </c>
      <c r="G1094" s="673">
        <f t="shared" si="97"/>
        <v>434539.25999999611</v>
      </c>
      <c r="H1094" s="721">
        <f>+J1048*G1094+E1094</f>
        <v>229615.99341298116</v>
      </c>
      <c r="I1094" s="727">
        <f>+J1049*G1094+E1094</f>
        <v>229615.99341298116</v>
      </c>
      <c r="J1094" s="724">
        <f t="shared" si="98"/>
        <v>0</v>
      </c>
      <c r="K1094" s="724"/>
      <c r="L1094" s="728"/>
      <c r="M1094" s="724">
        <f t="shared" si="99"/>
        <v>0</v>
      </c>
      <c r="N1094" s="728"/>
      <c r="O1094" s="724">
        <f t="shared" si="100"/>
        <v>0</v>
      </c>
      <c r="P1094" s="724">
        <f t="shared" si="101"/>
        <v>0</v>
      </c>
      <c r="Q1094" s="674"/>
    </row>
    <row r="1095" spans="2:17">
      <c r="B1095" s="330"/>
      <c r="C1095" s="720">
        <f>IF(D1047="","-",+C1094+1)</f>
        <v>2057</v>
      </c>
      <c r="D1095" s="673">
        <f t="shared" si="102"/>
        <v>353063.14874999609</v>
      </c>
      <c r="E1095" s="726">
        <f t="shared" si="103"/>
        <v>162952.2225</v>
      </c>
      <c r="F1095" s="726">
        <f t="shared" si="96"/>
        <v>190110.92624999609</v>
      </c>
      <c r="G1095" s="673">
        <f t="shared" si="97"/>
        <v>271587.03749999608</v>
      </c>
      <c r="H1095" s="721">
        <f>+J1048*G1095+E1095</f>
        <v>204617.079320613</v>
      </c>
      <c r="I1095" s="727">
        <f>+J1049*G1095+E1095</f>
        <v>204617.079320613</v>
      </c>
      <c r="J1095" s="724">
        <f t="shared" si="98"/>
        <v>0</v>
      </c>
      <c r="K1095" s="724"/>
      <c r="L1095" s="728"/>
      <c r="M1095" s="724">
        <f t="shared" si="99"/>
        <v>0</v>
      </c>
      <c r="N1095" s="728"/>
      <c r="O1095" s="724">
        <f t="shared" si="100"/>
        <v>0</v>
      </c>
      <c r="P1095" s="724">
        <f t="shared" si="101"/>
        <v>0</v>
      </c>
      <c r="Q1095" s="674"/>
    </row>
    <row r="1096" spans="2:17">
      <c r="B1096" s="330"/>
      <c r="C1096" s="720">
        <f>IF(D1047="","-",+C1095+1)</f>
        <v>2058</v>
      </c>
      <c r="D1096" s="673">
        <f t="shared" si="102"/>
        <v>190110.92624999609</v>
      </c>
      <c r="E1096" s="726">
        <f t="shared" si="103"/>
        <v>162952.2225</v>
      </c>
      <c r="F1096" s="726">
        <f t="shared" si="96"/>
        <v>27158.703749996086</v>
      </c>
      <c r="G1096" s="673">
        <f t="shared" si="97"/>
        <v>108634.81499999609</v>
      </c>
      <c r="H1096" s="721">
        <f>+J1048*G1096+E1096</f>
        <v>179618.16522824485</v>
      </c>
      <c r="I1096" s="727">
        <f>+J1049*G1096+E1096</f>
        <v>179618.16522824485</v>
      </c>
      <c r="J1096" s="724">
        <f t="shared" si="98"/>
        <v>0</v>
      </c>
      <c r="K1096" s="724"/>
      <c r="L1096" s="728"/>
      <c r="M1096" s="724">
        <f t="shared" si="99"/>
        <v>0</v>
      </c>
      <c r="N1096" s="728"/>
      <c r="O1096" s="724">
        <f t="shared" si="100"/>
        <v>0</v>
      </c>
      <c r="P1096" s="724">
        <f t="shared" si="101"/>
        <v>0</v>
      </c>
      <c r="Q1096" s="674"/>
    </row>
    <row r="1097" spans="2:17">
      <c r="B1097" s="330"/>
      <c r="C1097" s="720">
        <f>IF(D1047="","-",+C1096+1)</f>
        <v>2059</v>
      </c>
      <c r="D1097" s="673">
        <f t="shared" si="102"/>
        <v>27158.703749996086</v>
      </c>
      <c r="E1097" s="726">
        <f t="shared" si="103"/>
        <v>27158.703749996086</v>
      </c>
      <c r="F1097" s="726">
        <f t="shared" si="96"/>
        <v>0</v>
      </c>
      <c r="G1097" s="673">
        <f t="shared" si="97"/>
        <v>13579.351874998043</v>
      </c>
      <c r="H1097" s="721">
        <f>+J1048*G1097+E1097</f>
        <v>29241.946591026466</v>
      </c>
      <c r="I1097" s="727">
        <f>+J1049*G1097+E1097</f>
        <v>29241.946591026466</v>
      </c>
      <c r="J1097" s="724">
        <f t="shared" si="98"/>
        <v>0</v>
      </c>
      <c r="K1097" s="724"/>
      <c r="L1097" s="728"/>
      <c r="M1097" s="724">
        <f t="shared" si="99"/>
        <v>0</v>
      </c>
      <c r="N1097" s="728"/>
      <c r="O1097" s="724">
        <f t="shared" si="100"/>
        <v>0</v>
      </c>
      <c r="P1097" s="724">
        <f t="shared" si="101"/>
        <v>0</v>
      </c>
      <c r="Q1097" s="674"/>
    </row>
    <row r="1098" spans="2:17">
      <c r="B1098" s="330"/>
      <c r="C1098" s="720">
        <f>IF(D1047="","-",+C1097+1)</f>
        <v>2060</v>
      </c>
      <c r="D1098" s="673">
        <f t="shared" si="102"/>
        <v>0</v>
      </c>
      <c r="E1098" s="726">
        <f t="shared" si="103"/>
        <v>0</v>
      </c>
      <c r="F1098" s="726">
        <f t="shared" si="96"/>
        <v>0</v>
      </c>
      <c r="G1098" s="673">
        <f t="shared" si="97"/>
        <v>0</v>
      </c>
      <c r="H1098" s="721">
        <f>+J1048*G1098+E1098</f>
        <v>0</v>
      </c>
      <c r="I1098" s="727">
        <f>+J1049*G1098+E1098</f>
        <v>0</v>
      </c>
      <c r="J1098" s="724">
        <f t="shared" si="98"/>
        <v>0</v>
      </c>
      <c r="K1098" s="724"/>
      <c r="L1098" s="728"/>
      <c r="M1098" s="724">
        <f t="shared" si="99"/>
        <v>0</v>
      </c>
      <c r="N1098" s="728"/>
      <c r="O1098" s="724">
        <f t="shared" si="100"/>
        <v>0</v>
      </c>
      <c r="P1098" s="724">
        <f t="shared" si="101"/>
        <v>0</v>
      </c>
      <c r="Q1098" s="674"/>
    </row>
    <row r="1099" spans="2:17">
      <c r="B1099" s="330"/>
      <c r="C1099" s="720">
        <f>IF(D1047="","-",+C1098+1)</f>
        <v>2061</v>
      </c>
      <c r="D1099" s="673">
        <f t="shared" si="102"/>
        <v>0</v>
      </c>
      <c r="E1099" s="726">
        <f t="shared" si="103"/>
        <v>0</v>
      </c>
      <c r="F1099" s="726">
        <f t="shared" si="96"/>
        <v>0</v>
      </c>
      <c r="G1099" s="673">
        <f t="shared" si="97"/>
        <v>0</v>
      </c>
      <c r="H1099" s="721">
        <f>+J1048*G1099+E1099</f>
        <v>0</v>
      </c>
      <c r="I1099" s="727">
        <f>+J1049*G1099+E1099</f>
        <v>0</v>
      </c>
      <c r="J1099" s="724">
        <f t="shared" si="98"/>
        <v>0</v>
      </c>
      <c r="K1099" s="724"/>
      <c r="L1099" s="728"/>
      <c r="M1099" s="724">
        <f t="shared" si="99"/>
        <v>0</v>
      </c>
      <c r="N1099" s="728"/>
      <c r="O1099" s="724">
        <f t="shared" si="100"/>
        <v>0</v>
      </c>
      <c r="P1099" s="724">
        <f t="shared" si="101"/>
        <v>0</v>
      </c>
      <c r="Q1099" s="674"/>
    </row>
    <row r="1100" spans="2:17">
      <c r="B1100" s="330"/>
      <c r="C1100" s="720">
        <f>IF(D1047="","-",+C1099+1)</f>
        <v>2062</v>
      </c>
      <c r="D1100" s="673">
        <f t="shared" si="102"/>
        <v>0</v>
      </c>
      <c r="E1100" s="726">
        <f t="shared" si="103"/>
        <v>0</v>
      </c>
      <c r="F1100" s="726">
        <f t="shared" si="96"/>
        <v>0</v>
      </c>
      <c r="G1100" s="673">
        <f t="shared" si="97"/>
        <v>0</v>
      </c>
      <c r="H1100" s="721">
        <f>+J1048*G1100+E1100</f>
        <v>0</v>
      </c>
      <c r="I1100" s="727">
        <f>+J1049*G1100+E1100</f>
        <v>0</v>
      </c>
      <c r="J1100" s="724">
        <f t="shared" si="98"/>
        <v>0</v>
      </c>
      <c r="K1100" s="724"/>
      <c r="L1100" s="728"/>
      <c r="M1100" s="724">
        <f t="shared" si="99"/>
        <v>0</v>
      </c>
      <c r="N1100" s="728"/>
      <c r="O1100" s="724">
        <f t="shared" si="100"/>
        <v>0</v>
      </c>
      <c r="P1100" s="724">
        <f t="shared" si="101"/>
        <v>0</v>
      </c>
      <c r="Q1100" s="674"/>
    </row>
    <row r="1101" spans="2:17">
      <c r="B1101" s="330"/>
      <c r="C1101" s="720">
        <f>IF(D1047="","-",+C1100+1)</f>
        <v>2063</v>
      </c>
      <c r="D1101" s="673">
        <f t="shared" si="102"/>
        <v>0</v>
      </c>
      <c r="E1101" s="726">
        <f t="shared" si="103"/>
        <v>0</v>
      </c>
      <c r="F1101" s="726">
        <f t="shared" si="96"/>
        <v>0</v>
      </c>
      <c r="G1101" s="673">
        <f t="shared" si="97"/>
        <v>0</v>
      </c>
      <c r="H1101" s="721">
        <f>+J1048*G1101+E1101</f>
        <v>0</v>
      </c>
      <c r="I1101" s="727">
        <f>+J1049*G1101+E1101</f>
        <v>0</v>
      </c>
      <c r="J1101" s="724">
        <f t="shared" si="98"/>
        <v>0</v>
      </c>
      <c r="K1101" s="724"/>
      <c r="L1101" s="728"/>
      <c r="M1101" s="724">
        <f t="shared" si="99"/>
        <v>0</v>
      </c>
      <c r="N1101" s="728"/>
      <c r="O1101" s="724">
        <f t="shared" si="100"/>
        <v>0</v>
      </c>
      <c r="P1101" s="724">
        <f t="shared" si="101"/>
        <v>0</v>
      </c>
      <c r="Q1101" s="674"/>
    </row>
    <row r="1102" spans="2:17">
      <c r="B1102" s="330"/>
      <c r="C1102" s="720">
        <f>IF(D1047="","-",+C1101+1)</f>
        <v>2064</v>
      </c>
      <c r="D1102" s="673">
        <f t="shared" si="102"/>
        <v>0</v>
      </c>
      <c r="E1102" s="726">
        <f t="shared" si="103"/>
        <v>0</v>
      </c>
      <c r="F1102" s="726">
        <f t="shared" si="96"/>
        <v>0</v>
      </c>
      <c r="G1102" s="673">
        <f t="shared" si="97"/>
        <v>0</v>
      </c>
      <c r="H1102" s="721">
        <f>+J1048*G1102+E1102</f>
        <v>0</v>
      </c>
      <c r="I1102" s="727">
        <f>+J1049*G1102+E1102</f>
        <v>0</v>
      </c>
      <c r="J1102" s="724">
        <f t="shared" si="98"/>
        <v>0</v>
      </c>
      <c r="K1102" s="724"/>
      <c r="L1102" s="728"/>
      <c r="M1102" s="724">
        <f t="shared" si="99"/>
        <v>0</v>
      </c>
      <c r="N1102" s="728"/>
      <c r="O1102" s="724">
        <f t="shared" si="100"/>
        <v>0</v>
      </c>
      <c r="P1102" s="724">
        <f t="shared" si="101"/>
        <v>0</v>
      </c>
      <c r="Q1102" s="674"/>
    </row>
    <row r="1103" spans="2:17">
      <c r="B1103" s="330"/>
      <c r="C1103" s="720">
        <f>IF(D1047="","-",+C1102+1)</f>
        <v>2065</v>
      </c>
      <c r="D1103" s="673">
        <f t="shared" si="102"/>
        <v>0</v>
      </c>
      <c r="E1103" s="726">
        <f t="shared" si="103"/>
        <v>0</v>
      </c>
      <c r="F1103" s="726">
        <f t="shared" si="96"/>
        <v>0</v>
      </c>
      <c r="G1103" s="673">
        <f t="shared" si="97"/>
        <v>0</v>
      </c>
      <c r="H1103" s="721">
        <f>+J1048*G1103+E1103</f>
        <v>0</v>
      </c>
      <c r="I1103" s="727">
        <f>+J1049*G1103+E1103</f>
        <v>0</v>
      </c>
      <c r="J1103" s="724">
        <f t="shared" si="98"/>
        <v>0</v>
      </c>
      <c r="K1103" s="724"/>
      <c r="L1103" s="728"/>
      <c r="M1103" s="724">
        <f t="shared" si="99"/>
        <v>0</v>
      </c>
      <c r="N1103" s="728"/>
      <c r="O1103" s="724">
        <f t="shared" si="100"/>
        <v>0</v>
      </c>
      <c r="P1103" s="724">
        <f t="shared" si="101"/>
        <v>0</v>
      </c>
      <c r="Q1103" s="674"/>
    </row>
    <row r="1104" spans="2:17">
      <c r="B1104" s="330"/>
      <c r="C1104" s="720">
        <f>IF(D1047="","-",+C1103+1)</f>
        <v>2066</v>
      </c>
      <c r="D1104" s="673">
        <f t="shared" si="102"/>
        <v>0</v>
      </c>
      <c r="E1104" s="726">
        <f t="shared" si="103"/>
        <v>0</v>
      </c>
      <c r="F1104" s="726">
        <f t="shared" si="96"/>
        <v>0</v>
      </c>
      <c r="G1104" s="673">
        <f t="shared" si="97"/>
        <v>0</v>
      </c>
      <c r="H1104" s="721">
        <f>+J1048*G1104+E1104</f>
        <v>0</v>
      </c>
      <c r="I1104" s="727">
        <f>+J1049*G1104+E1104</f>
        <v>0</v>
      </c>
      <c r="J1104" s="724">
        <f t="shared" si="98"/>
        <v>0</v>
      </c>
      <c r="K1104" s="724"/>
      <c r="L1104" s="728"/>
      <c r="M1104" s="724">
        <f t="shared" si="99"/>
        <v>0</v>
      </c>
      <c r="N1104" s="728"/>
      <c r="O1104" s="724">
        <f t="shared" si="100"/>
        <v>0</v>
      </c>
      <c r="P1104" s="724">
        <f t="shared" si="101"/>
        <v>0</v>
      </c>
      <c r="Q1104" s="674"/>
    </row>
    <row r="1105" spans="1:17">
      <c r="B1105" s="330"/>
      <c r="C1105" s="720">
        <f>IF(D1047="","-",+C1104+1)</f>
        <v>2067</v>
      </c>
      <c r="D1105" s="673">
        <f t="shared" si="102"/>
        <v>0</v>
      </c>
      <c r="E1105" s="726">
        <f t="shared" si="103"/>
        <v>0</v>
      </c>
      <c r="F1105" s="726">
        <f t="shared" si="96"/>
        <v>0</v>
      </c>
      <c r="G1105" s="673">
        <f t="shared" si="97"/>
        <v>0</v>
      </c>
      <c r="H1105" s="721">
        <f>+J1048*G1105+E1105</f>
        <v>0</v>
      </c>
      <c r="I1105" s="727">
        <f>+J1049*G1105+E1105</f>
        <v>0</v>
      </c>
      <c r="J1105" s="724">
        <f t="shared" si="98"/>
        <v>0</v>
      </c>
      <c r="K1105" s="724"/>
      <c r="L1105" s="728"/>
      <c r="M1105" s="724">
        <f t="shared" si="99"/>
        <v>0</v>
      </c>
      <c r="N1105" s="728"/>
      <c r="O1105" s="724">
        <f t="shared" si="100"/>
        <v>0</v>
      </c>
      <c r="P1105" s="724">
        <f t="shared" si="101"/>
        <v>0</v>
      </c>
      <c r="Q1105" s="674"/>
    </row>
    <row r="1106" spans="1:17">
      <c r="B1106" s="330"/>
      <c r="C1106" s="720">
        <f>IF(D1047="","-",+C1105+1)</f>
        <v>2068</v>
      </c>
      <c r="D1106" s="673">
        <f t="shared" si="102"/>
        <v>0</v>
      </c>
      <c r="E1106" s="726">
        <f t="shared" si="103"/>
        <v>0</v>
      </c>
      <c r="F1106" s="726">
        <f t="shared" si="96"/>
        <v>0</v>
      </c>
      <c r="G1106" s="673">
        <f t="shared" si="97"/>
        <v>0</v>
      </c>
      <c r="H1106" s="721">
        <f>+J1048*G1106+E1106</f>
        <v>0</v>
      </c>
      <c r="I1106" s="727">
        <f>+J1049*G1106+E1106</f>
        <v>0</v>
      </c>
      <c r="J1106" s="724">
        <f t="shared" si="98"/>
        <v>0</v>
      </c>
      <c r="K1106" s="724"/>
      <c r="L1106" s="728"/>
      <c r="M1106" s="724">
        <f t="shared" si="99"/>
        <v>0</v>
      </c>
      <c r="N1106" s="728"/>
      <c r="O1106" s="724">
        <f t="shared" si="100"/>
        <v>0</v>
      </c>
      <c r="P1106" s="724">
        <f t="shared" si="101"/>
        <v>0</v>
      </c>
      <c r="Q1106" s="674"/>
    </row>
    <row r="1107" spans="1:17">
      <c r="B1107" s="330"/>
      <c r="C1107" s="720">
        <f>IF(D1047="","-",+C1106+1)</f>
        <v>2069</v>
      </c>
      <c r="D1107" s="673">
        <f t="shared" si="102"/>
        <v>0</v>
      </c>
      <c r="E1107" s="726">
        <f t="shared" si="103"/>
        <v>0</v>
      </c>
      <c r="F1107" s="726">
        <f t="shared" si="96"/>
        <v>0</v>
      </c>
      <c r="G1107" s="673">
        <f t="shared" si="97"/>
        <v>0</v>
      </c>
      <c r="H1107" s="721">
        <f>+J1048*G1107+E1107</f>
        <v>0</v>
      </c>
      <c r="I1107" s="727">
        <f>+J1049*G1107+E1107</f>
        <v>0</v>
      </c>
      <c r="J1107" s="724">
        <f t="shared" si="98"/>
        <v>0</v>
      </c>
      <c r="K1107" s="724"/>
      <c r="L1107" s="728"/>
      <c r="M1107" s="724">
        <f t="shared" si="99"/>
        <v>0</v>
      </c>
      <c r="N1107" s="728"/>
      <c r="O1107" s="724">
        <f t="shared" si="100"/>
        <v>0</v>
      </c>
      <c r="P1107" s="724">
        <f t="shared" si="101"/>
        <v>0</v>
      </c>
      <c r="Q1107" s="674"/>
    </row>
    <row r="1108" spans="1:17">
      <c r="B1108" s="330"/>
      <c r="C1108" s="720">
        <f>IF(D1047="","-",+C1107+1)</f>
        <v>2070</v>
      </c>
      <c r="D1108" s="673">
        <f t="shared" si="102"/>
        <v>0</v>
      </c>
      <c r="E1108" s="726">
        <f t="shared" si="103"/>
        <v>0</v>
      </c>
      <c r="F1108" s="726">
        <f t="shared" si="96"/>
        <v>0</v>
      </c>
      <c r="G1108" s="673">
        <f t="shared" si="97"/>
        <v>0</v>
      </c>
      <c r="H1108" s="721">
        <f>+J1048*G1108+E1108</f>
        <v>0</v>
      </c>
      <c r="I1108" s="727">
        <f>+J1049*G1108+E1108</f>
        <v>0</v>
      </c>
      <c r="J1108" s="724">
        <f t="shared" si="98"/>
        <v>0</v>
      </c>
      <c r="K1108" s="724"/>
      <c r="L1108" s="728"/>
      <c r="M1108" s="724">
        <f t="shared" si="99"/>
        <v>0</v>
      </c>
      <c r="N1108" s="728"/>
      <c r="O1108" s="724">
        <f t="shared" si="100"/>
        <v>0</v>
      </c>
      <c r="P1108" s="724">
        <f t="shared" si="101"/>
        <v>0</v>
      </c>
      <c r="Q1108" s="674"/>
    </row>
    <row r="1109" spans="1:17">
      <c r="B1109" s="330"/>
      <c r="C1109" s="720">
        <f>IF(D1047="","-",+C1108+1)</f>
        <v>2071</v>
      </c>
      <c r="D1109" s="673">
        <f t="shared" si="102"/>
        <v>0</v>
      </c>
      <c r="E1109" s="726">
        <f t="shared" si="103"/>
        <v>0</v>
      </c>
      <c r="F1109" s="726">
        <f t="shared" si="96"/>
        <v>0</v>
      </c>
      <c r="G1109" s="673">
        <f t="shared" si="97"/>
        <v>0</v>
      </c>
      <c r="H1109" s="721">
        <f>+J1048*G1109+E1109</f>
        <v>0</v>
      </c>
      <c r="I1109" s="727">
        <f>+J1049*G1109+E1109</f>
        <v>0</v>
      </c>
      <c r="J1109" s="724">
        <f t="shared" si="98"/>
        <v>0</v>
      </c>
      <c r="K1109" s="724"/>
      <c r="L1109" s="728"/>
      <c r="M1109" s="724">
        <f t="shared" si="99"/>
        <v>0</v>
      </c>
      <c r="N1109" s="728"/>
      <c r="O1109" s="724">
        <f t="shared" si="100"/>
        <v>0</v>
      </c>
      <c r="P1109" s="724">
        <f t="shared" si="101"/>
        <v>0</v>
      </c>
      <c r="Q1109" s="674"/>
    </row>
    <row r="1110" spans="1:17">
      <c r="B1110" s="330"/>
      <c r="C1110" s="720">
        <f>IF(D1047="","-",+C1109+1)</f>
        <v>2072</v>
      </c>
      <c r="D1110" s="673">
        <f t="shared" si="102"/>
        <v>0</v>
      </c>
      <c r="E1110" s="726">
        <f t="shared" si="103"/>
        <v>0</v>
      </c>
      <c r="F1110" s="726">
        <f t="shared" si="96"/>
        <v>0</v>
      </c>
      <c r="G1110" s="673">
        <f t="shared" si="97"/>
        <v>0</v>
      </c>
      <c r="H1110" s="721">
        <f>+J1048*G1110+E1110</f>
        <v>0</v>
      </c>
      <c r="I1110" s="727">
        <f>+J1049*G1110+E1110</f>
        <v>0</v>
      </c>
      <c r="J1110" s="724">
        <f t="shared" si="98"/>
        <v>0</v>
      </c>
      <c r="K1110" s="724"/>
      <c r="L1110" s="728"/>
      <c r="M1110" s="724">
        <f t="shared" si="99"/>
        <v>0</v>
      </c>
      <c r="N1110" s="728"/>
      <c r="O1110" s="724">
        <f t="shared" si="100"/>
        <v>0</v>
      </c>
      <c r="P1110" s="724">
        <f t="shared" si="101"/>
        <v>0</v>
      </c>
      <c r="Q1110" s="674"/>
    </row>
    <row r="1111" spans="1:17">
      <c r="B1111" s="330"/>
      <c r="C1111" s="720">
        <f>IF(D1047="","-",+C1110+1)</f>
        <v>2073</v>
      </c>
      <c r="D1111" s="673">
        <f t="shared" si="102"/>
        <v>0</v>
      </c>
      <c r="E1111" s="726">
        <f t="shared" si="103"/>
        <v>0</v>
      </c>
      <c r="F1111" s="726">
        <f t="shared" si="96"/>
        <v>0</v>
      </c>
      <c r="G1111" s="673">
        <f t="shared" si="97"/>
        <v>0</v>
      </c>
      <c r="H1111" s="721">
        <f>+J1048*G1111+E1111</f>
        <v>0</v>
      </c>
      <c r="I1111" s="727">
        <f>+J1049*G1111+E1111</f>
        <v>0</v>
      </c>
      <c r="J1111" s="724">
        <f t="shared" si="98"/>
        <v>0</v>
      </c>
      <c r="K1111" s="724"/>
      <c r="L1111" s="728"/>
      <c r="M1111" s="724">
        <f t="shared" si="99"/>
        <v>0</v>
      </c>
      <c r="N1111" s="728"/>
      <c r="O1111" s="724">
        <f t="shared" si="100"/>
        <v>0</v>
      </c>
      <c r="P1111" s="724">
        <f t="shared" si="101"/>
        <v>0</v>
      </c>
      <c r="Q1111" s="674"/>
    </row>
    <row r="1112" spans="1:17" ht="13.5" thickBot="1">
      <c r="B1112" s="330"/>
      <c r="C1112" s="730">
        <f>IF(D1047="","-",+C1111+1)</f>
        <v>2074</v>
      </c>
      <c r="D1112" s="731">
        <f t="shared" si="102"/>
        <v>0</v>
      </c>
      <c r="E1112" s="1309">
        <f t="shared" si="103"/>
        <v>0</v>
      </c>
      <c r="F1112" s="732">
        <f t="shared" si="96"/>
        <v>0</v>
      </c>
      <c r="G1112" s="731">
        <f t="shared" si="97"/>
        <v>0</v>
      </c>
      <c r="H1112" s="733">
        <f>+J1048*G1112+E1112</f>
        <v>0</v>
      </c>
      <c r="I1112" s="733">
        <f>+J1049*G1112+E1112</f>
        <v>0</v>
      </c>
      <c r="J1112" s="734">
        <f t="shared" si="98"/>
        <v>0</v>
      </c>
      <c r="K1112" s="724"/>
      <c r="L1112" s="735"/>
      <c r="M1112" s="734">
        <f t="shared" si="99"/>
        <v>0</v>
      </c>
      <c r="N1112" s="735"/>
      <c r="O1112" s="734">
        <f t="shared" si="100"/>
        <v>0</v>
      </c>
      <c r="P1112" s="734">
        <f t="shared" si="101"/>
        <v>0</v>
      </c>
      <c r="Q1112" s="674"/>
    </row>
    <row r="1113" spans="1:17">
      <c r="B1113" s="330"/>
      <c r="C1113" s="673" t="s">
        <v>288</v>
      </c>
      <c r="D1113" s="669"/>
      <c r="E1113" s="669">
        <f>SUM(E1053:E1112)</f>
        <v>7169897.7899999991</v>
      </c>
      <c r="F1113" s="669"/>
      <c r="G1113" s="669"/>
      <c r="H1113" s="669">
        <f>SUM(H1053:H1112)</f>
        <v>31552172.001423053</v>
      </c>
      <c r="I1113" s="669">
        <f>SUM(I1053:I1112)</f>
        <v>31552172.001423053</v>
      </c>
      <c r="J1113" s="669">
        <f>SUM(J1053:J1112)</f>
        <v>0</v>
      </c>
      <c r="K1113" s="669"/>
      <c r="L1113" s="669"/>
      <c r="M1113" s="669"/>
      <c r="N1113" s="669"/>
      <c r="O1113" s="669"/>
      <c r="Q1113" s="669"/>
    </row>
    <row r="1114" spans="1:17">
      <c r="B1114" s="330"/>
      <c r="D1114" s="563"/>
      <c r="E1114" s="542"/>
      <c r="F1114" s="542"/>
      <c r="G1114" s="542"/>
      <c r="H1114" s="542"/>
      <c r="I1114" s="646"/>
      <c r="J1114" s="646"/>
      <c r="K1114" s="669"/>
      <c r="L1114" s="646"/>
      <c r="M1114" s="646"/>
      <c r="N1114" s="646"/>
      <c r="O1114" s="646"/>
      <c r="Q1114" s="669"/>
    </row>
    <row r="1115" spans="1:17">
      <c r="B1115" s="330"/>
      <c r="C1115" s="542" t="s">
        <v>595</v>
      </c>
      <c r="D1115" s="563"/>
      <c r="E1115" s="542"/>
      <c r="F1115" s="542"/>
      <c r="G1115" s="542"/>
      <c r="H1115" s="542"/>
      <c r="I1115" s="646"/>
      <c r="J1115" s="646"/>
      <c r="K1115" s="669"/>
      <c r="L1115" s="646"/>
      <c r="M1115" s="646"/>
      <c r="N1115" s="646"/>
      <c r="O1115" s="646"/>
      <c r="Q1115" s="669"/>
    </row>
    <row r="1116" spans="1:17">
      <c r="B1116" s="330"/>
      <c r="D1116" s="563"/>
      <c r="E1116" s="542"/>
      <c r="F1116" s="542"/>
      <c r="G1116" s="542"/>
      <c r="H1116" s="542"/>
      <c r="I1116" s="646"/>
      <c r="J1116" s="646"/>
      <c r="K1116" s="669"/>
      <c r="L1116" s="646"/>
      <c r="M1116" s="646"/>
      <c r="N1116" s="646"/>
      <c r="O1116" s="646"/>
      <c r="Q1116" s="669"/>
    </row>
    <row r="1117" spans="1:17">
      <c r="B1117" s="330"/>
      <c r="C1117" s="576" t="s">
        <v>596</v>
      </c>
      <c r="D1117" s="673"/>
      <c r="E1117" s="673"/>
      <c r="F1117" s="673"/>
      <c r="G1117" s="673"/>
      <c r="H1117" s="669"/>
      <c r="I1117" s="669"/>
      <c r="J1117" s="674"/>
      <c r="K1117" s="674"/>
      <c r="L1117" s="674"/>
      <c r="M1117" s="674"/>
      <c r="N1117" s="674"/>
      <c r="O1117" s="674"/>
      <c r="Q1117" s="674"/>
    </row>
    <row r="1118" spans="1:17">
      <c r="B1118" s="330"/>
      <c r="C1118" s="576" t="s">
        <v>476</v>
      </c>
      <c r="D1118" s="673"/>
      <c r="E1118" s="673"/>
      <c r="F1118" s="673"/>
      <c r="G1118" s="673"/>
      <c r="H1118" s="669"/>
      <c r="I1118" s="669"/>
      <c r="J1118" s="674"/>
      <c r="K1118" s="674"/>
      <c r="L1118" s="674"/>
      <c r="M1118" s="674"/>
      <c r="N1118" s="674"/>
      <c r="O1118" s="674"/>
      <c r="Q1118" s="674"/>
    </row>
    <row r="1119" spans="1:17">
      <c r="B1119" s="330"/>
      <c r="C1119" s="576" t="s">
        <v>289</v>
      </c>
      <c r="D1119" s="673"/>
      <c r="E1119" s="673"/>
      <c r="F1119" s="673"/>
      <c r="G1119" s="673"/>
      <c r="H1119" s="669"/>
      <c r="I1119" s="669"/>
      <c r="J1119" s="674"/>
      <c r="K1119" s="674"/>
      <c r="L1119" s="674"/>
      <c r="M1119" s="674"/>
      <c r="N1119" s="674"/>
      <c r="O1119" s="674"/>
      <c r="Q1119" s="674"/>
    </row>
    <row r="1120" spans="1:17" ht="20.25">
      <c r="A1120" s="675" t="s">
        <v>764</v>
      </c>
      <c r="B1120" s="542"/>
      <c r="C1120" s="655"/>
      <c r="D1120" s="563"/>
      <c r="E1120" s="542"/>
      <c r="F1120" s="645"/>
      <c r="G1120" s="645"/>
      <c r="H1120" s="542"/>
      <c r="I1120" s="646"/>
      <c r="L1120" s="676"/>
      <c r="M1120" s="676"/>
      <c r="N1120" s="676"/>
      <c r="O1120" s="591" t="str">
        <f>"Page "&amp;SUM(Q$3:Q1120)&amp;" of "</f>
        <v xml:space="preserve">Page 14 of </v>
      </c>
      <c r="P1120" s="592">
        <f>COUNT(Q$8:Q$58212)</f>
        <v>23</v>
      </c>
      <c r="Q1120" s="756">
        <v>1</v>
      </c>
    </row>
    <row r="1121" spans="1:17">
      <c r="B1121" s="542"/>
      <c r="C1121" s="542"/>
      <c r="D1121" s="563"/>
      <c r="E1121" s="542"/>
      <c r="F1121" s="542"/>
      <c r="G1121" s="542"/>
      <c r="H1121" s="542"/>
      <c r="I1121" s="646"/>
      <c r="J1121" s="542"/>
      <c r="K1121" s="588"/>
      <c r="Q1121" s="588"/>
    </row>
    <row r="1122" spans="1:17" ht="18">
      <c r="B1122" s="595" t="s">
        <v>174</v>
      </c>
      <c r="C1122" s="677" t="s">
        <v>290</v>
      </c>
      <c r="D1122" s="563"/>
      <c r="E1122" s="542"/>
      <c r="F1122" s="542"/>
      <c r="G1122" s="542"/>
      <c r="H1122" s="542"/>
      <c r="I1122" s="646"/>
      <c r="J1122" s="646"/>
      <c r="K1122" s="669"/>
      <c r="L1122" s="646"/>
      <c r="M1122" s="646"/>
      <c r="N1122" s="646"/>
      <c r="O1122" s="646"/>
      <c r="Q1122" s="669"/>
    </row>
    <row r="1123" spans="1:17" ht="18.75">
      <c r="B1123" s="595"/>
      <c r="C1123" s="594"/>
      <c r="D1123" s="563"/>
      <c r="E1123" s="542"/>
      <c r="F1123" s="542"/>
      <c r="G1123" s="542"/>
      <c r="H1123" s="542"/>
      <c r="I1123" s="646"/>
      <c r="J1123" s="646"/>
      <c r="K1123" s="669"/>
      <c r="L1123" s="646"/>
      <c r="M1123" s="646"/>
      <c r="N1123" s="646"/>
      <c r="O1123" s="646"/>
      <c r="Q1123" s="669"/>
    </row>
    <row r="1124" spans="1:17" ht="18.75">
      <c r="B1124" s="595"/>
      <c r="C1124" s="594" t="s">
        <v>291</v>
      </c>
      <c r="D1124" s="563"/>
      <c r="E1124" s="542"/>
      <c r="F1124" s="542"/>
      <c r="G1124" s="542"/>
      <c r="H1124" s="542"/>
      <c r="I1124" s="646"/>
      <c r="J1124" s="646"/>
      <c r="K1124" s="669"/>
      <c r="L1124" s="646"/>
      <c r="M1124" s="646"/>
      <c r="N1124" s="646"/>
      <c r="O1124" s="646"/>
      <c r="Q1124" s="669"/>
    </row>
    <row r="1125" spans="1:17" ht="15.75" thickBot="1">
      <c r="B1125" s="330"/>
      <c r="C1125" s="396"/>
      <c r="D1125" s="563"/>
      <c r="E1125" s="542"/>
      <c r="F1125" s="542"/>
      <c r="G1125" s="542"/>
      <c r="H1125" s="542"/>
      <c r="I1125" s="646"/>
      <c r="J1125" s="646"/>
      <c r="K1125" s="669"/>
      <c r="L1125" s="646"/>
      <c r="M1125" s="646"/>
      <c r="N1125" s="646"/>
      <c r="O1125" s="646"/>
      <c r="Q1125" s="669"/>
    </row>
    <row r="1126" spans="1:17" ht="15.75">
      <c r="B1126" s="330"/>
      <c r="C1126" s="596" t="s">
        <v>292</v>
      </c>
      <c r="D1126" s="563"/>
      <c r="E1126" s="542"/>
      <c r="F1126" s="542"/>
      <c r="G1126" s="542"/>
      <c r="H1126" s="864"/>
      <c r="I1126" s="542" t="s">
        <v>271</v>
      </c>
      <c r="J1126" s="542"/>
      <c r="K1126" s="588"/>
      <c r="L1126" s="757">
        <f>+J1132</f>
        <v>2021</v>
      </c>
      <c r="M1126" s="739" t="s">
        <v>254</v>
      </c>
      <c r="N1126" s="739" t="s">
        <v>255</v>
      </c>
      <c r="O1126" s="740" t="s">
        <v>256</v>
      </c>
      <c r="Q1126" s="588"/>
    </row>
    <row r="1127" spans="1:17" ht="15.75">
      <c r="B1127" s="330"/>
      <c r="C1127" s="596"/>
      <c r="D1127" s="563"/>
      <c r="E1127" s="542"/>
      <c r="F1127" s="542"/>
      <c r="H1127" s="542"/>
      <c r="I1127" s="681"/>
      <c r="J1127" s="681"/>
      <c r="K1127" s="682"/>
      <c r="L1127" s="758" t="s">
        <v>455</v>
      </c>
      <c r="M1127" s="759">
        <f>VLOOKUP(J1132,C1139:P1198,10)</f>
        <v>177977.81228490558</v>
      </c>
      <c r="N1127" s="759">
        <f>VLOOKUP(J1132,C1139:P1198,12)</f>
        <v>177977.81228490558</v>
      </c>
      <c r="O1127" s="760">
        <f>+N1127-M1127</f>
        <v>0</v>
      </c>
      <c r="Q1127" s="682"/>
    </row>
    <row r="1128" spans="1:17">
      <c r="B1128" s="330"/>
      <c r="C1128" s="684" t="s">
        <v>293</v>
      </c>
      <c r="D1128" s="1703" t="s">
        <v>946</v>
      </c>
      <c r="E1128" s="1703"/>
      <c r="F1128" s="1703"/>
      <c r="G1128" s="1703"/>
      <c r="H1128" s="1703"/>
      <c r="I1128" s="1703"/>
      <c r="J1128" s="646"/>
      <c r="K1128" s="669"/>
      <c r="L1128" s="758" t="s">
        <v>456</v>
      </c>
      <c r="M1128" s="761">
        <f>VLOOKUP(J1132,C1139:P1198,6)</f>
        <v>188533.09138052689</v>
      </c>
      <c r="N1128" s="761">
        <f>VLOOKUP(J1132,C1139:P1198,7)</f>
        <v>188533.09138052689</v>
      </c>
      <c r="O1128" s="762">
        <f>+N1128-M1128</f>
        <v>0</v>
      </c>
      <c r="Q1128" s="669"/>
    </row>
    <row r="1129" spans="1:17" ht="13.5" thickBot="1">
      <c r="B1129" s="330"/>
      <c r="C1129" s="686"/>
      <c r="D1129" s="1703" t="s">
        <v>114</v>
      </c>
      <c r="E1129" s="1703"/>
      <c r="F1129" s="1703"/>
      <c r="G1129" s="1703"/>
      <c r="H1129" s="1703"/>
      <c r="I1129" s="1703"/>
      <c r="J1129" s="646"/>
      <c r="K1129" s="669"/>
      <c r="L1129" s="705" t="s">
        <v>457</v>
      </c>
      <c r="M1129" s="763">
        <f>+M1128-M1127</f>
        <v>10555.279095621314</v>
      </c>
      <c r="N1129" s="763">
        <f>+N1128-N1127</f>
        <v>10555.279095621314</v>
      </c>
      <c r="O1129" s="764">
        <f>+O1128-O1127</f>
        <v>0</v>
      </c>
      <c r="Q1129" s="669"/>
    </row>
    <row r="1130" spans="1:17" ht="13.5" thickBot="1">
      <c r="B1130" s="330"/>
      <c r="C1130" s="689"/>
      <c r="D1130" s="690"/>
      <c r="E1130" s="688"/>
      <c r="F1130" s="688"/>
      <c r="G1130" s="688"/>
      <c r="H1130" s="688"/>
      <c r="I1130" s="688"/>
      <c r="J1130" s="688"/>
      <c r="K1130" s="691"/>
      <c r="L1130" s="688"/>
      <c r="M1130" s="688"/>
      <c r="N1130" s="688"/>
      <c r="O1130" s="688"/>
      <c r="P1130" s="576"/>
      <c r="Q1130" s="691"/>
    </row>
    <row r="1131" spans="1:17" ht="13.5" thickBot="1">
      <c r="B1131" s="330"/>
      <c r="C1131" s="692" t="s">
        <v>294</v>
      </c>
      <c r="D1131" s="693"/>
      <c r="E1131" s="693"/>
      <c r="F1131" s="693"/>
      <c r="G1131" s="693"/>
      <c r="H1131" s="693"/>
      <c r="I1131" s="693"/>
      <c r="J1131" s="693"/>
      <c r="K1131" s="695"/>
      <c r="P1131" s="696"/>
      <c r="Q1131" s="695"/>
    </row>
    <row r="1132" spans="1:17" ht="15">
      <c r="A1132" s="1310"/>
      <c r="B1132" s="330"/>
      <c r="C1132" s="697" t="s">
        <v>272</v>
      </c>
      <c r="D1132" s="1253">
        <v>1214619.18</v>
      </c>
      <c r="E1132" s="655" t="s">
        <v>273</v>
      </c>
      <c r="H1132" s="698"/>
      <c r="I1132" s="698"/>
      <c r="J1132" s="1451">
        <f>$J$95</f>
        <v>2021</v>
      </c>
      <c r="K1132" s="586"/>
      <c r="L1132" s="1717" t="s">
        <v>274</v>
      </c>
      <c r="M1132" s="1717"/>
      <c r="N1132" s="1717"/>
      <c r="O1132" s="1717"/>
      <c r="P1132" s="588"/>
      <c r="Q1132" s="586"/>
    </row>
    <row r="1133" spans="1:17">
      <c r="A1133" s="1310"/>
      <c r="B1133" s="330"/>
      <c r="C1133" s="697" t="s">
        <v>275</v>
      </c>
      <c r="D1133" s="865">
        <v>2015</v>
      </c>
      <c r="E1133" s="697" t="s">
        <v>276</v>
      </c>
      <c r="F1133" s="698"/>
      <c r="G1133" s="698"/>
      <c r="I1133" s="330"/>
      <c r="J1133" s="867">
        <v>0</v>
      </c>
      <c r="K1133" s="700"/>
      <c r="L1133" s="669" t="s">
        <v>475</v>
      </c>
      <c r="P1133" s="588"/>
      <c r="Q1133" s="700"/>
    </row>
    <row r="1134" spans="1:17">
      <c r="A1134" s="1310"/>
      <c r="B1134" s="330"/>
      <c r="C1134" s="697" t="s">
        <v>277</v>
      </c>
      <c r="D1134" s="1253">
        <v>6</v>
      </c>
      <c r="E1134" s="697" t="s">
        <v>278</v>
      </c>
      <c r="F1134" s="698"/>
      <c r="G1134" s="698"/>
      <c r="I1134" s="330"/>
      <c r="J1134" s="701">
        <f>$F$70</f>
        <v>0.15341253840442806</v>
      </c>
      <c r="K1134" s="702"/>
      <c r="L1134" s="542" t="str">
        <f>"          INPUT TRUE-UP ARR (WITH &amp; WITHOUT INCENTIVES) FROM EACH PRIOR YEAR"</f>
        <v xml:space="preserve">          INPUT TRUE-UP ARR (WITH &amp; WITHOUT INCENTIVES) FROM EACH PRIOR YEAR</v>
      </c>
      <c r="P1134" s="588"/>
      <c r="Q1134" s="702"/>
    </row>
    <row r="1135" spans="1:17">
      <c r="A1135" s="1310"/>
      <c r="B1135" s="330"/>
      <c r="C1135" s="697" t="s">
        <v>279</v>
      </c>
      <c r="D1135" s="703">
        <f>H79</f>
        <v>44</v>
      </c>
      <c r="E1135" s="697" t="s">
        <v>280</v>
      </c>
      <c r="F1135" s="698"/>
      <c r="G1135" s="698"/>
      <c r="I1135" s="330"/>
      <c r="J1135" s="701">
        <f>IF(H1126="",J1134,$F$69)</f>
        <v>0.15341253840442806</v>
      </c>
      <c r="K1135" s="704"/>
      <c r="L1135" s="542" t="s">
        <v>362</v>
      </c>
      <c r="M1135" s="704"/>
      <c r="N1135" s="704"/>
      <c r="O1135" s="704"/>
      <c r="P1135" s="588"/>
      <c r="Q1135" s="704"/>
    </row>
    <row r="1136" spans="1:17" ht="13.5" thickBot="1">
      <c r="A1136" s="1310"/>
      <c r="B1136" s="330"/>
      <c r="C1136" s="697" t="s">
        <v>281</v>
      </c>
      <c r="D1136" s="866" t="s">
        <v>933</v>
      </c>
      <c r="E1136" s="705" t="s">
        <v>282</v>
      </c>
      <c r="F1136" s="706"/>
      <c r="G1136" s="706"/>
      <c r="H1136" s="707"/>
      <c r="I1136" s="707"/>
      <c r="J1136" s="685">
        <f>IF(D1132=0,0,D1132/D1135)</f>
        <v>27604.981363636361</v>
      </c>
      <c r="K1136" s="669"/>
      <c r="L1136" s="669" t="s">
        <v>363</v>
      </c>
      <c r="M1136" s="669"/>
      <c r="N1136" s="669"/>
      <c r="O1136" s="669"/>
      <c r="P1136" s="588"/>
      <c r="Q1136" s="669"/>
    </row>
    <row r="1137" spans="1:17" ht="38.25">
      <c r="A1137" s="529"/>
      <c r="B1137" s="529"/>
      <c r="C1137" s="708" t="s">
        <v>272</v>
      </c>
      <c r="D1137" s="709" t="s">
        <v>283</v>
      </c>
      <c r="E1137" s="710" t="s">
        <v>284</v>
      </c>
      <c r="F1137" s="709" t="s">
        <v>285</v>
      </c>
      <c r="G1137" s="709" t="s">
        <v>458</v>
      </c>
      <c r="H1137" s="710" t="s">
        <v>356</v>
      </c>
      <c r="I1137" s="711" t="s">
        <v>356</v>
      </c>
      <c r="J1137" s="708" t="s">
        <v>295</v>
      </c>
      <c r="K1137" s="712"/>
      <c r="L1137" s="710" t="s">
        <v>358</v>
      </c>
      <c r="M1137" s="710" t="s">
        <v>364</v>
      </c>
      <c r="N1137" s="710" t="s">
        <v>358</v>
      </c>
      <c r="O1137" s="710" t="s">
        <v>366</v>
      </c>
      <c r="P1137" s="710" t="s">
        <v>286</v>
      </c>
      <c r="Q1137" s="713"/>
    </row>
    <row r="1138" spans="1:17" ht="13.5" thickBot="1">
      <c r="B1138" s="330"/>
      <c r="C1138" s="714" t="s">
        <v>177</v>
      </c>
      <c r="D1138" s="715" t="s">
        <v>178</v>
      </c>
      <c r="E1138" s="714" t="s">
        <v>37</v>
      </c>
      <c r="F1138" s="715" t="s">
        <v>178</v>
      </c>
      <c r="G1138" s="715" t="s">
        <v>178</v>
      </c>
      <c r="H1138" s="716" t="s">
        <v>298</v>
      </c>
      <c r="I1138" s="717" t="s">
        <v>300</v>
      </c>
      <c r="J1138" s="718" t="s">
        <v>389</v>
      </c>
      <c r="K1138" s="719"/>
      <c r="L1138" s="716" t="s">
        <v>287</v>
      </c>
      <c r="M1138" s="716" t="s">
        <v>287</v>
      </c>
      <c r="N1138" s="716" t="s">
        <v>467</v>
      </c>
      <c r="O1138" s="716" t="s">
        <v>467</v>
      </c>
      <c r="P1138" s="716" t="s">
        <v>467</v>
      </c>
      <c r="Q1138" s="586"/>
    </row>
    <row r="1139" spans="1:17">
      <c r="B1139" s="330"/>
      <c r="C1139" s="720">
        <f>IF(D1133= "","-",D1133)</f>
        <v>2015</v>
      </c>
      <c r="D1139" s="673">
        <f>+D1132</f>
        <v>1214619.18</v>
      </c>
      <c r="E1139" s="721">
        <f>+J1136/12*(12-D1134)</f>
        <v>13802.490681818181</v>
      </c>
      <c r="F1139" s="765">
        <f t="shared" ref="F1139:F1198" si="104">+D1139-E1139</f>
        <v>1200816.6893181817</v>
      </c>
      <c r="G1139" s="673">
        <f t="shared" ref="G1139:G1198" si="105">+(D1139+F1139)/2</f>
        <v>1207717.9346590908</v>
      </c>
      <c r="H1139" s="722">
        <f>+J1134*G1139+E1139</f>
        <v>199081.56471442251</v>
      </c>
      <c r="I1139" s="723">
        <f>+J1135*G1139+E1139</f>
        <v>199081.56471442251</v>
      </c>
      <c r="J1139" s="724">
        <f t="shared" ref="J1139:J1198" si="106">+I1139-H1139</f>
        <v>0</v>
      </c>
      <c r="K1139" s="724"/>
      <c r="L1139" s="728">
        <v>247850</v>
      </c>
      <c r="M1139" s="766">
        <f t="shared" ref="M1139:M1198" si="107">IF(L1139&lt;&gt;0,+H1139-L1139,0)</f>
        <v>-48768.435285577492</v>
      </c>
      <c r="N1139" s="728">
        <v>247850</v>
      </c>
      <c r="O1139" s="766">
        <f t="shared" ref="O1139:O1198" si="108">IF(N1139&lt;&gt;0,+I1139-N1139,0)</f>
        <v>-48768.435285577492</v>
      </c>
      <c r="P1139" s="766">
        <f t="shared" ref="P1139:P1198" si="109">+O1139-M1139</f>
        <v>0</v>
      </c>
      <c r="Q1139" s="674"/>
    </row>
    <row r="1140" spans="1:17">
      <c r="B1140" s="330"/>
      <c r="C1140" s="720">
        <f>IF(D1133="","-",+C1139+1)</f>
        <v>2016</v>
      </c>
      <c r="D1140" s="673">
        <f t="shared" ref="D1140:D1198" si="110">F1139</f>
        <v>1200816.6893181817</v>
      </c>
      <c r="E1140" s="726">
        <f>IF(D1140&gt;$J$1136,$J$1136,D1140)</f>
        <v>27604.981363636361</v>
      </c>
      <c r="F1140" s="726">
        <f t="shared" si="104"/>
        <v>1173211.7079545453</v>
      </c>
      <c r="G1140" s="673">
        <f t="shared" si="105"/>
        <v>1187014.1986363635</v>
      </c>
      <c r="H1140" s="721">
        <f>+J1134*G1140+E1140</f>
        <v>209707.84269853888</v>
      </c>
      <c r="I1140" s="727">
        <f>+J1135*G1140+E1140</f>
        <v>209707.84269853888</v>
      </c>
      <c r="J1140" s="724">
        <f t="shared" si="106"/>
        <v>0</v>
      </c>
      <c r="K1140" s="724"/>
      <c r="L1140" s="728">
        <v>216823</v>
      </c>
      <c r="M1140" s="724">
        <f t="shared" si="107"/>
        <v>-7115.1573014611204</v>
      </c>
      <c r="N1140" s="728">
        <v>216823</v>
      </c>
      <c r="O1140" s="724">
        <f t="shared" si="108"/>
        <v>-7115.1573014611204</v>
      </c>
      <c r="P1140" s="724">
        <f t="shared" si="109"/>
        <v>0</v>
      </c>
      <c r="Q1140" s="674"/>
    </row>
    <row r="1141" spans="1:17">
      <c r="B1141" s="330"/>
      <c r="C1141" s="720">
        <f>IF(D1133="","-",+C1140+1)</f>
        <v>2017</v>
      </c>
      <c r="D1141" s="673">
        <f t="shared" si="110"/>
        <v>1173211.7079545453</v>
      </c>
      <c r="E1141" s="726">
        <f t="shared" ref="E1141:E1198" si="111">IF(D1141&gt;$J$1136,$J$1136,D1141)</f>
        <v>27604.981363636361</v>
      </c>
      <c r="F1141" s="726">
        <f t="shared" si="104"/>
        <v>1145606.7265909088</v>
      </c>
      <c r="G1141" s="673">
        <f t="shared" si="105"/>
        <v>1159409.2172727271</v>
      </c>
      <c r="H1141" s="721">
        <f>+J1134*G1141+E1141</f>
        <v>205472.89243493648</v>
      </c>
      <c r="I1141" s="727">
        <f>+J1135*G1141+E1141</f>
        <v>205472.89243493648</v>
      </c>
      <c r="J1141" s="724">
        <f t="shared" si="106"/>
        <v>0</v>
      </c>
      <c r="K1141" s="724"/>
      <c r="L1141" s="728">
        <v>219628</v>
      </c>
      <c r="M1141" s="724">
        <f t="shared" si="107"/>
        <v>-14155.107565063518</v>
      </c>
      <c r="N1141" s="728">
        <v>219628</v>
      </c>
      <c r="O1141" s="724">
        <f t="shared" si="108"/>
        <v>-14155.107565063518</v>
      </c>
      <c r="P1141" s="724">
        <f t="shared" si="109"/>
        <v>0</v>
      </c>
      <c r="Q1141" s="674"/>
    </row>
    <row r="1142" spans="1:17">
      <c r="B1142" s="330"/>
      <c r="C1142" s="720">
        <f>IF(D1133="","-",+C1141+1)</f>
        <v>2018</v>
      </c>
      <c r="D1142" s="1455">
        <f t="shared" si="110"/>
        <v>1145606.7265909088</v>
      </c>
      <c r="E1142" s="726">
        <f t="shared" si="111"/>
        <v>27604.981363636361</v>
      </c>
      <c r="F1142" s="726">
        <f t="shared" si="104"/>
        <v>1118001.7452272724</v>
      </c>
      <c r="G1142" s="673">
        <f t="shared" si="105"/>
        <v>1131804.2359090906</v>
      </c>
      <c r="H1142" s="721">
        <f>+J1134*G1142+E1142</f>
        <v>201237.94217133409</v>
      </c>
      <c r="I1142" s="727">
        <f>+J1135*G1142+E1142</f>
        <v>201237.94217133409</v>
      </c>
      <c r="J1142" s="724">
        <f t="shared" si="106"/>
        <v>0</v>
      </c>
      <c r="K1142" s="724"/>
      <c r="L1142" s="728">
        <v>198829</v>
      </c>
      <c r="M1142" s="724">
        <f t="shared" si="107"/>
        <v>2408.9421713340853</v>
      </c>
      <c r="N1142" s="728">
        <v>198829</v>
      </c>
      <c r="O1142" s="724">
        <f t="shared" si="108"/>
        <v>2408.9421713340853</v>
      </c>
      <c r="P1142" s="724">
        <f t="shared" si="109"/>
        <v>0</v>
      </c>
      <c r="Q1142" s="674"/>
    </row>
    <row r="1143" spans="1:17">
      <c r="B1143" s="330"/>
      <c r="C1143" s="720">
        <f>IF(D1133="","-",+C1142+1)</f>
        <v>2019</v>
      </c>
      <c r="D1143" s="1269">
        <f t="shared" si="110"/>
        <v>1118001.7452272724</v>
      </c>
      <c r="E1143" s="726">
        <f t="shared" si="111"/>
        <v>27604.981363636361</v>
      </c>
      <c r="F1143" s="726">
        <f t="shared" si="104"/>
        <v>1090396.7638636359</v>
      </c>
      <c r="G1143" s="673">
        <f t="shared" si="105"/>
        <v>1104199.2545454542</v>
      </c>
      <c r="H1143" s="721">
        <f>+J1134*G1143+E1143</f>
        <v>197002.99190773169</v>
      </c>
      <c r="I1143" s="727">
        <f>+J1135*G1143+E1143</f>
        <v>197002.99190773169</v>
      </c>
      <c r="J1143" s="724">
        <f t="shared" si="106"/>
        <v>0</v>
      </c>
      <c r="K1143" s="724"/>
      <c r="L1143" s="1452">
        <v>193445</v>
      </c>
      <c r="M1143" s="724">
        <f t="shared" si="107"/>
        <v>3557.9919077316881</v>
      </c>
      <c r="N1143" s="1452">
        <v>193445</v>
      </c>
      <c r="O1143" s="724">
        <f t="shared" si="108"/>
        <v>3557.9919077316881</v>
      </c>
      <c r="P1143" s="724">
        <f t="shared" si="109"/>
        <v>0</v>
      </c>
      <c r="Q1143" s="674"/>
    </row>
    <row r="1144" spans="1:17">
      <c r="B1144" s="330"/>
      <c r="C1144" s="720">
        <f>IF(D1133="","-",+C1143+1)</f>
        <v>2020</v>
      </c>
      <c r="D1144" s="1269">
        <f t="shared" si="110"/>
        <v>1090396.7638636359</v>
      </c>
      <c r="E1144" s="726">
        <f t="shared" si="111"/>
        <v>27604.981363636361</v>
      </c>
      <c r="F1144" s="726">
        <f t="shared" si="104"/>
        <v>1062791.7824999995</v>
      </c>
      <c r="G1144" s="673">
        <f t="shared" si="105"/>
        <v>1076594.2731818177</v>
      </c>
      <c r="H1144" s="721">
        <f>+J1134*G1144+E1144</f>
        <v>192768.04164412929</v>
      </c>
      <c r="I1144" s="727">
        <f>+J1135*G1144+E1144</f>
        <v>192768.04164412929</v>
      </c>
      <c r="J1144" s="724">
        <f t="shared" si="106"/>
        <v>0</v>
      </c>
      <c r="K1144" s="724"/>
      <c r="L1144" s="728">
        <v>186463.49247652118</v>
      </c>
      <c r="M1144" s="724">
        <f t="shared" si="107"/>
        <v>6304.5491676081147</v>
      </c>
      <c r="N1144" s="1548">
        <v>186463.49247652118</v>
      </c>
      <c r="O1144" s="724">
        <f t="shared" si="108"/>
        <v>6304.5491676081147</v>
      </c>
      <c r="P1144" s="724">
        <f t="shared" si="109"/>
        <v>0</v>
      </c>
      <c r="Q1144" s="674"/>
    </row>
    <row r="1145" spans="1:17">
      <c r="B1145" s="330"/>
      <c r="C1145" s="720">
        <f>IF(D1133="","-",+C1144+1)</f>
        <v>2021</v>
      </c>
      <c r="D1145" s="1269">
        <f t="shared" si="110"/>
        <v>1062791.7824999995</v>
      </c>
      <c r="E1145" s="726">
        <f t="shared" si="111"/>
        <v>27604.981363636361</v>
      </c>
      <c r="F1145" s="726">
        <f t="shared" si="104"/>
        <v>1035186.8011363632</v>
      </c>
      <c r="G1145" s="673">
        <f t="shared" si="105"/>
        <v>1048989.2918181813</v>
      </c>
      <c r="H1145" s="721">
        <f>+J1134*G1145+E1145</f>
        <v>188533.09138052689</v>
      </c>
      <c r="I1145" s="727">
        <f>+J1135*G1145+E1145</f>
        <v>188533.09138052689</v>
      </c>
      <c r="J1145" s="724">
        <f t="shared" si="106"/>
        <v>0</v>
      </c>
      <c r="K1145" s="724"/>
      <c r="L1145" s="728">
        <v>177977.81228490558</v>
      </c>
      <c r="M1145" s="724">
        <f t="shared" si="107"/>
        <v>10555.279095621314</v>
      </c>
      <c r="N1145" s="1548">
        <v>177977.81228490558</v>
      </c>
      <c r="O1145" s="724">
        <f t="shared" si="108"/>
        <v>10555.279095621314</v>
      </c>
      <c r="P1145" s="724">
        <f t="shared" si="109"/>
        <v>0</v>
      </c>
      <c r="Q1145" s="674"/>
    </row>
    <row r="1146" spans="1:17">
      <c r="B1146" s="330"/>
      <c r="C1146" s="720">
        <f>IF(D1133="","-",+C1145+1)</f>
        <v>2022</v>
      </c>
      <c r="D1146" s="673">
        <f t="shared" si="110"/>
        <v>1035186.8011363632</v>
      </c>
      <c r="E1146" s="726">
        <f t="shared" si="111"/>
        <v>27604.981363636361</v>
      </c>
      <c r="F1146" s="726">
        <f t="shared" si="104"/>
        <v>1007581.8197727269</v>
      </c>
      <c r="G1146" s="673">
        <f t="shared" si="105"/>
        <v>1021384.3104545451</v>
      </c>
      <c r="H1146" s="721">
        <f>+J1134*G1146+E1146</f>
        <v>184298.14111692453</v>
      </c>
      <c r="I1146" s="727">
        <f>+J1135*G1146+E1146</f>
        <v>184298.14111692453</v>
      </c>
      <c r="J1146" s="724">
        <f t="shared" si="106"/>
        <v>0</v>
      </c>
      <c r="K1146" s="724"/>
      <c r="L1146" s="728">
        <v>0</v>
      </c>
      <c r="M1146" s="724">
        <f t="shared" si="107"/>
        <v>0</v>
      </c>
      <c r="N1146" s="728">
        <v>0</v>
      </c>
      <c r="O1146" s="724">
        <f t="shared" si="108"/>
        <v>0</v>
      </c>
      <c r="P1146" s="724">
        <f t="shared" si="109"/>
        <v>0</v>
      </c>
      <c r="Q1146" s="674"/>
    </row>
    <row r="1147" spans="1:17">
      <c r="B1147" s="330"/>
      <c r="C1147" s="720">
        <f>IF(D1133="","-",+C1146+1)</f>
        <v>2023</v>
      </c>
      <c r="D1147" s="673">
        <f t="shared" si="110"/>
        <v>1007581.8197727269</v>
      </c>
      <c r="E1147" s="726">
        <f t="shared" si="111"/>
        <v>27604.981363636361</v>
      </c>
      <c r="F1147" s="726">
        <f t="shared" si="104"/>
        <v>979976.83840909053</v>
      </c>
      <c r="G1147" s="673">
        <f t="shared" si="105"/>
        <v>993779.32909090864</v>
      </c>
      <c r="H1147" s="721">
        <f>+J1134*G1147+E1147</f>
        <v>180063.19085332213</v>
      </c>
      <c r="I1147" s="727">
        <f>+J1135*G1147+E1147</f>
        <v>180063.19085332213</v>
      </c>
      <c r="J1147" s="724">
        <f t="shared" si="106"/>
        <v>0</v>
      </c>
      <c r="K1147" s="724"/>
      <c r="L1147" s="728">
        <v>0</v>
      </c>
      <c r="M1147" s="724">
        <f t="shared" si="107"/>
        <v>0</v>
      </c>
      <c r="N1147" s="728">
        <v>0</v>
      </c>
      <c r="O1147" s="724">
        <f t="shared" si="108"/>
        <v>0</v>
      </c>
      <c r="P1147" s="724">
        <f t="shared" si="109"/>
        <v>0</v>
      </c>
      <c r="Q1147" s="674"/>
    </row>
    <row r="1148" spans="1:17">
      <c r="B1148" s="330"/>
      <c r="C1148" s="1291">
        <f>IF(D1133="","-",+C1147+1)</f>
        <v>2024</v>
      </c>
      <c r="D1148" s="673">
        <f t="shared" si="110"/>
        <v>979976.83840909053</v>
      </c>
      <c r="E1148" s="726">
        <f t="shared" si="111"/>
        <v>27604.981363636361</v>
      </c>
      <c r="F1148" s="726">
        <f t="shared" si="104"/>
        <v>952371.85704545421</v>
      </c>
      <c r="G1148" s="673">
        <f t="shared" si="105"/>
        <v>966174.34772727243</v>
      </c>
      <c r="H1148" s="721">
        <f>+J1134*G1148+E1148</f>
        <v>175828.24058971976</v>
      </c>
      <c r="I1148" s="727">
        <f>+J1135*G1148+E1148</f>
        <v>175828.24058971976</v>
      </c>
      <c r="J1148" s="724">
        <f t="shared" si="106"/>
        <v>0</v>
      </c>
      <c r="K1148" s="724"/>
      <c r="L1148" s="728">
        <v>0</v>
      </c>
      <c r="M1148" s="724">
        <f t="shared" si="107"/>
        <v>0</v>
      </c>
      <c r="N1148" s="728">
        <v>0</v>
      </c>
      <c r="O1148" s="724">
        <f t="shared" si="108"/>
        <v>0</v>
      </c>
      <c r="P1148" s="724">
        <f t="shared" si="109"/>
        <v>0</v>
      </c>
      <c r="Q1148" s="674"/>
    </row>
    <row r="1149" spans="1:17">
      <c r="B1149" s="330"/>
      <c r="C1149" s="720">
        <f>IF(D1133="","-",+C1148+1)</f>
        <v>2025</v>
      </c>
      <c r="D1149" s="673">
        <f t="shared" si="110"/>
        <v>952371.85704545421</v>
      </c>
      <c r="E1149" s="726">
        <f t="shared" si="111"/>
        <v>27604.981363636361</v>
      </c>
      <c r="F1149" s="726">
        <f t="shared" si="104"/>
        <v>924766.87568181788</v>
      </c>
      <c r="G1149" s="673">
        <f t="shared" si="105"/>
        <v>938569.36636363599</v>
      </c>
      <c r="H1149" s="721">
        <f>+J1134*G1149+E1149</f>
        <v>171593.29032611736</v>
      </c>
      <c r="I1149" s="727">
        <f>+J1135*G1149+E1149</f>
        <v>171593.29032611736</v>
      </c>
      <c r="J1149" s="724">
        <f t="shared" si="106"/>
        <v>0</v>
      </c>
      <c r="K1149" s="724"/>
      <c r="L1149" s="728"/>
      <c r="M1149" s="724">
        <f t="shared" si="107"/>
        <v>0</v>
      </c>
      <c r="N1149" s="728"/>
      <c r="O1149" s="724">
        <f t="shared" si="108"/>
        <v>0</v>
      </c>
      <c r="P1149" s="724">
        <f t="shared" si="109"/>
        <v>0</v>
      </c>
      <c r="Q1149" s="674"/>
    </row>
    <row r="1150" spans="1:17">
      <c r="B1150" s="330"/>
      <c r="C1150" s="720">
        <f>IF(D1133="","-",+C1149+1)</f>
        <v>2026</v>
      </c>
      <c r="D1150" s="673">
        <f t="shared" si="110"/>
        <v>924766.87568181788</v>
      </c>
      <c r="E1150" s="726">
        <f t="shared" si="111"/>
        <v>27604.981363636361</v>
      </c>
      <c r="F1150" s="726">
        <f t="shared" si="104"/>
        <v>897161.89431818156</v>
      </c>
      <c r="G1150" s="673">
        <f t="shared" si="105"/>
        <v>910964.38499999978</v>
      </c>
      <c r="H1150" s="721">
        <f>+J1134*G1150+E1150</f>
        <v>167358.34006251502</v>
      </c>
      <c r="I1150" s="727">
        <f>+J1135*G1150+E1150</f>
        <v>167358.34006251502</v>
      </c>
      <c r="J1150" s="724">
        <f t="shared" si="106"/>
        <v>0</v>
      </c>
      <c r="K1150" s="724"/>
      <c r="L1150" s="728"/>
      <c r="M1150" s="724">
        <f t="shared" si="107"/>
        <v>0</v>
      </c>
      <c r="N1150" s="728"/>
      <c r="O1150" s="724">
        <f t="shared" si="108"/>
        <v>0</v>
      </c>
      <c r="P1150" s="724">
        <f t="shared" si="109"/>
        <v>0</v>
      </c>
      <c r="Q1150" s="674"/>
    </row>
    <row r="1151" spans="1:17">
      <c r="B1151" s="330"/>
      <c r="C1151" s="720">
        <f>IF(D1133="","-",+C1150+1)</f>
        <v>2027</v>
      </c>
      <c r="D1151" s="673">
        <f t="shared" si="110"/>
        <v>897161.89431818156</v>
      </c>
      <c r="E1151" s="726">
        <f t="shared" si="111"/>
        <v>27604.981363636361</v>
      </c>
      <c r="F1151" s="726">
        <f t="shared" si="104"/>
        <v>869556.91295454523</v>
      </c>
      <c r="G1151" s="673">
        <f t="shared" si="105"/>
        <v>883359.40363636333</v>
      </c>
      <c r="H1151" s="721">
        <f>+J1134*G1151+E1151</f>
        <v>163123.38979891263</v>
      </c>
      <c r="I1151" s="727">
        <f>+J1135*G1151+E1151</f>
        <v>163123.38979891263</v>
      </c>
      <c r="J1151" s="724">
        <f t="shared" si="106"/>
        <v>0</v>
      </c>
      <c r="K1151" s="724"/>
      <c r="L1151" s="728"/>
      <c r="M1151" s="724">
        <f t="shared" si="107"/>
        <v>0</v>
      </c>
      <c r="N1151" s="728"/>
      <c r="O1151" s="724">
        <f t="shared" si="108"/>
        <v>0</v>
      </c>
      <c r="P1151" s="724">
        <f t="shared" si="109"/>
        <v>0</v>
      </c>
      <c r="Q1151" s="674"/>
    </row>
    <row r="1152" spans="1:17">
      <c r="B1152" s="330"/>
      <c r="C1152" s="720">
        <f>IF(D1133="","-",+C1151+1)</f>
        <v>2028</v>
      </c>
      <c r="D1152" s="673">
        <f t="shared" si="110"/>
        <v>869556.91295454523</v>
      </c>
      <c r="E1152" s="726">
        <f t="shared" si="111"/>
        <v>27604.981363636361</v>
      </c>
      <c r="F1152" s="726">
        <f t="shared" si="104"/>
        <v>841951.93159090891</v>
      </c>
      <c r="G1152" s="673">
        <f t="shared" si="105"/>
        <v>855754.42227272713</v>
      </c>
      <c r="H1152" s="721">
        <f>+J1134*G1152+E1152</f>
        <v>158888.43953531026</v>
      </c>
      <c r="I1152" s="727">
        <f>+J1135*G1152+E1152</f>
        <v>158888.43953531026</v>
      </c>
      <c r="J1152" s="724">
        <f t="shared" si="106"/>
        <v>0</v>
      </c>
      <c r="K1152" s="724"/>
      <c r="L1152" s="728"/>
      <c r="M1152" s="724">
        <f t="shared" si="107"/>
        <v>0</v>
      </c>
      <c r="N1152" s="728"/>
      <c r="O1152" s="724">
        <f t="shared" si="108"/>
        <v>0</v>
      </c>
      <c r="P1152" s="724">
        <f t="shared" si="109"/>
        <v>0</v>
      </c>
      <c r="Q1152" s="674"/>
    </row>
    <row r="1153" spans="2:17">
      <c r="B1153" s="330"/>
      <c r="C1153" s="720">
        <f>IF(D1133="","-",+C1152+1)</f>
        <v>2029</v>
      </c>
      <c r="D1153" s="673">
        <f t="shared" si="110"/>
        <v>841951.93159090891</v>
      </c>
      <c r="E1153" s="726">
        <f t="shared" si="111"/>
        <v>27604.981363636361</v>
      </c>
      <c r="F1153" s="726">
        <f t="shared" si="104"/>
        <v>814346.95022727258</v>
      </c>
      <c r="G1153" s="673">
        <f t="shared" si="105"/>
        <v>828149.44090909068</v>
      </c>
      <c r="H1153" s="721">
        <f>+J1134*G1153+E1153</f>
        <v>154653.48927170786</v>
      </c>
      <c r="I1153" s="727">
        <f>+J1135*G1153+E1153</f>
        <v>154653.48927170786</v>
      </c>
      <c r="J1153" s="724">
        <f t="shared" si="106"/>
        <v>0</v>
      </c>
      <c r="K1153" s="724"/>
      <c r="L1153" s="728"/>
      <c r="M1153" s="724">
        <f t="shared" si="107"/>
        <v>0</v>
      </c>
      <c r="N1153" s="728"/>
      <c r="O1153" s="724">
        <f t="shared" si="108"/>
        <v>0</v>
      </c>
      <c r="P1153" s="724">
        <f t="shared" si="109"/>
        <v>0</v>
      </c>
      <c r="Q1153" s="674"/>
    </row>
    <row r="1154" spans="2:17">
      <c r="B1154" s="330"/>
      <c r="C1154" s="720">
        <f>IF(D1133="","-",+C1153+1)</f>
        <v>2030</v>
      </c>
      <c r="D1154" s="673">
        <f t="shared" si="110"/>
        <v>814346.95022727258</v>
      </c>
      <c r="E1154" s="726">
        <f t="shared" si="111"/>
        <v>27604.981363636361</v>
      </c>
      <c r="F1154" s="726">
        <f t="shared" si="104"/>
        <v>786741.96886363626</v>
      </c>
      <c r="G1154" s="673">
        <f t="shared" si="105"/>
        <v>800544.45954545448</v>
      </c>
      <c r="H1154" s="721">
        <f>+J1134*G1154+E1154</f>
        <v>150418.53900810549</v>
      </c>
      <c r="I1154" s="727">
        <f>+J1135*G1154+E1154</f>
        <v>150418.53900810549</v>
      </c>
      <c r="J1154" s="724">
        <f t="shared" si="106"/>
        <v>0</v>
      </c>
      <c r="K1154" s="724"/>
      <c r="L1154" s="728"/>
      <c r="M1154" s="724">
        <f t="shared" si="107"/>
        <v>0</v>
      </c>
      <c r="N1154" s="728"/>
      <c r="O1154" s="724">
        <f t="shared" si="108"/>
        <v>0</v>
      </c>
      <c r="P1154" s="724">
        <f t="shared" si="109"/>
        <v>0</v>
      </c>
      <c r="Q1154" s="674"/>
    </row>
    <row r="1155" spans="2:17">
      <c r="B1155" s="330"/>
      <c r="C1155" s="720">
        <f>IF(D1133="","-",+C1154+1)</f>
        <v>2031</v>
      </c>
      <c r="D1155" s="673">
        <f t="shared" si="110"/>
        <v>786741.96886363626</v>
      </c>
      <c r="E1155" s="726">
        <f t="shared" si="111"/>
        <v>27604.981363636361</v>
      </c>
      <c r="F1155" s="726">
        <f t="shared" si="104"/>
        <v>759136.98749999993</v>
      </c>
      <c r="G1155" s="673">
        <f t="shared" si="105"/>
        <v>772939.47818181803</v>
      </c>
      <c r="H1155" s="721">
        <f>+J1134*G1155+E1155</f>
        <v>146183.5887445031</v>
      </c>
      <c r="I1155" s="727">
        <f>+J1135*G1155+E1155</f>
        <v>146183.5887445031</v>
      </c>
      <c r="J1155" s="724">
        <f t="shared" si="106"/>
        <v>0</v>
      </c>
      <c r="K1155" s="724"/>
      <c r="L1155" s="728"/>
      <c r="M1155" s="724">
        <f t="shared" si="107"/>
        <v>0</v>
      </c>
      <c r="N1155" s="728"/>
      <c r="O1155" s="724">
        <f t="shared" si="108"/>
        <v>0</v>
      </c>
      <c r="P1155" s="724">
        <f t="shared" si="109"/>
        <v>0</v>
      </c>
      <c r="Q1155" s="674"/>
    </row>
    <row r="1156" spans="2:17">
      <c r="B1156" s="330"/>
      <c r="C1156" s="720">
        <f>IF(D1133="","-",+C1155+1)</f>
        <v>2032</v>
      </c>
      <c r="D1156" s="673">
        <f t="shared" si="110"/>
        <v>759136.98749999993</v>
      </c>
      <c r="E1156" s="726">
        <f t="shared" si="111"/>
        <v>27604.981363636361</v>
      </c>
      <c r="F1156" s="726">
        <f t="shared" si="104"/>
        <v>731532.00613636361</v>
      </c>
      <c r="G1156" s="673">
        <f t="shared" si="105"/>
        <v>745334.49681818183</v>
      </c>
      <c r="H1156" s="721">
        <f>+J1134*G1156+E1156</f>
        <v>141948.63848090076</v>
      </c>
      <c r="I1156" s="727">
        <f>+J1135*G1156+E1156</f>
        <v>141948.63848090076</v>
      </c>
      <c r="J1156" s="724">
        <f t="shared" si="106"/>
        <v>0</v>
      </c>
      <c r="K1156" s="724"/>
      <c r="L1156" s="728"/>
      <c r="M1156" s="724">
        <f t="shared" si="107"/>
        <v>0</v>
      </c>
      <c r="N1156" s="728"/>
      <c r="O1156" s="724">
        <f t="shared" si="108"/>
        <v>0</v>
      </c>
      <c r="P1156" s="724">
        <f t="shared" si="109"/>
        <v>0</v>
      </c>
      <c r="Q1156" s="674"/>
    </row>
    <row r="1157" spans="2:17">
      <c r="B1157" s="330"/>
      <c r="C1157" s="720">
        <f>IF(D1133="","-",+C1156+1)</f>
        <v>2033</v>
      </c>
      <c r="D1157" s="673">
        <f t="shared" si="110"/>
        <v>731532.00613636361</v>
      </c>
      <c r="E1157" s="726">
        <f t="shared" si="111"/>
        <v>27604.981363636361</v>
      </c>
      <c r="F1157" s="726">
        <f t="shared" si="104"/>
        <v>703927.02477272728</v>
      </c>
      <c r="G1157" s="673">
        <f t="shared" si="105"/>
        <v>717729.51545454538</v>
      </c>
      <c r="H1157" s="721">
        <f>+J1134*G1157+E1157</f>
        <v>137713.68821729836</v>
      </c>
      <c r="I1157" s="727">
        <f>+J1135*G1157+E1157</f>
        <v>137713.68821729836</v>
      </c>
      <c r="J1157" s="724">
        <f t="shared" si="106"/>
        <v>0</v>
      </c>
      <c r="K1157" s="724"/>
      <c r="L1157" s="728"/>
      <c r="M1157" s="724">
        <f t="shared" si="107"/>
        <v>0</v>
      </c>
      <c r="N1157" s="728"/>
      <c r="O1157" s="724">
        <f t="shared" si="108"/>
        <v>0</v>
      </c>
      <c r="P1157" s="724">
        <f t="shared" si="109"/>
        <v>0</v>
      </c>
      <c r="Q1157" s="674"/>
    </row>
    <row r="1158" spans="2:17">
      <c r="B1158" s="330"/>
      <c r="C1158" s="720">
        <f>IF(D1133="","-",+C1157+1)</f>
        <v>2034</v>
      </c>
      <c r="D1158" s="673">
        <f t="shared" si="110"/>
        <v>703927.02477272728</v>
      </c>
      <c r="E1158" s="726">
        <f t="shared" si="111"/>
        <v>27604.981363636361</v>
      </c>
      <c r="F1158" s="726">
        <f t="shared" si="104"/>
        <v>676322.04340909095</v>
      </c>
      <c r="G1158" s="673">
        <f t="shared" si="105"/>
        <v>690124.53409090918</v>
      </c>
      <c r="H1158" s="721">
        <f>+J1134*G1158+E1158</f>
        <v>133478.73795369599</v>
      </c>
      <c r="I1158" s="727">
        <f>+J1135*G1158+E1158</f>
        <v>133478.73795369599</v>
      </c>
      <c r="J1158" s="724">
        <f t="shared" si="106"/>
        <v>0</v>
      </c>
      <c r="K1158" s="724"/>
      <c r="L1158" s="728"/>
      <c r="M1158" s="724">
        <f t="shared" si="107"/>
        <v>0</v>
      </c>
      <c r="N1158" s="728"/>
      <c r="O1158" s="724">
        <f t="shared" si="108"/>
        <v>0</v>
      </c>
      <c r="P1158" s="724">
        <f t="shared" si="109"/>
        <v>0</v>
      </c>
      <c r="Q1158" s="674"/>
    </row>
    <row r="1159" spans="2:17">
      <c r="B1159" s="330"/>
      <c r="C1159" s="720">
        <f>IF(D1133="","-",+C1158+1)</f>
        <v>2035</v>
      </c>
      <c r="D1159" s="673">
        <f t="shared" si="110"/>
        <v>676322.04340909095</v>
      </c>
      <c r="E1159" s="726">
        <f t="shared" si="111"/>
        <v>27604.981363636361</v>
      </c>
      <c r="F1159" s="726">
        <f t="shared" si="104"/>
        <v>648717.06204545463</v>
      </c>
      <c r="G1159" s="673">
        <f t="shared" si="105"/>
        <v>662519.55272727273</v>
      </c>
      <c r="H1159" s="721">
        <f>+J1134*G1159+E1159</f>
        <v>129243.7876900936</v>
      </c>
      <c r="I1159" s="727">
        <f>+J1135*G1159+E1159</f>
        <v>129243.7876900936</v>
      </c>
      <c r="J1159" s="724">
        <f t="shared" si="106"/>
        <v>0</v>
      </c>
      <c r="K1159" s="724"/>
      <c r="L1159" s="728"/>
      <c r="M1159" s="724">
        <f t="shared" si="107"/>
        <v>0</v>
      </c>
      <c r="N1159" s="728"/>
      <c r="O1159" s="724">
        <f t="shared" si="108"/>
        <v>0</v>
      </c>
      <c r="P1159" s="724">
        <f t="shared" si="109"/>
        <v>0</v>
      </c>
      <c r="Q1159" s="674"/>
    </row>
    <row r="1160" spans="2:17">
      <c r="B1160" s="330"/>
      <c r="C1160" s="720">
        <f>IF(D1133="","-",+C1159+1)</f>
        <v>2036</v>
      </c>
      <c r="D1160" s="673">
        <f t="shared" si="110"/>
        <v>648717.06204545463</v>
      </c>
      <c r="E1160" s="726">
        <f t="shared" si="111"/>
        <v>27604.981363636361</v>
      </c>
      <c r="F1160" s="726">
        <f t="shared" si="104"/>
        <v>621112.0806818183</v>
      </c>
      <c r="G1160" s="673">
        <f t="shared" si="105"/>
        <v>634914.57136363653</v>
      </c>
      <c r="H1160" s="721">
        <f>+J1134*G1160+E1160</f>
        <v>125008.83742649123</v>
      </c>
      <c r="I1160" s="727">
        <f>+J1135*G1160+E1160</f>
        <v>125008.83742649123</v>
      </c>
      <c r="J1160" s="724">
        <f t="shared" si="106"/>
        <v>0</v>
      </c>
      <c r="K1160" s="724"/>
      <c r="L1160" s="728"/>
      <c r="M1160" s="724">
        <f t="shared" si="107"/>
        <v>0</v>
      </c>
      <c r="N1160" s="728"/>
      <c r="O1160" s="724">
        <f t="shared" si="108"/>
        <v>0</v>
      </c>
      <c r="P1160" s="724">
        <f t="shared" si="109"/>
        <v>0</v>
      </c>
      <c r="Q1160" s="674"/>
    </row>
    <row r="1161" spans="2:17">
      <c r="B1161" s="330"/>
      <c r="C1161" s="720">
        <f>IF(D1133="","-",+C1160+1)</f>
        <v>2037</v>
      </c>
      <c r="D1161" s="673">
        <f t="shared" si="110"/>
        <v>621112.0806818183</v>
      </c>
      <c r="E1161" s="726">
        <f t="shared" si="111"/>
        <v>27604.981363636361</v>
      </c>
      <c r="F1161" s="726">
        <f t="shared" si="104"/>
        <v>593507.09931818198</v>
      </c>
      <c r="G1161" s="673">
        <f t="shared" si="105"/>
        <v>607309.59000000008</v>
      </c>
      <c r="H1161" s="721">
        <f>+J1134*G1161+E1161</f>
        <v>120773.88716288883</v>
      </c>
      <c r="I1161" s="727">
        <f>+J1135*G1161+E1161</f>
        <v>120773.88716288883</v>
      </c>
      <c r="J1161" s="724">
        <f t="shared" si="106"/>
        <v>0</v>
      </c>
      <c r="K1161" s="724"/>
      <c r="L1161" s="728"/>
      <c r="M1161" s="724">
        <f t="shared" si="107"/>
        <v>0</v>
      </c>
      <c r="N1161" s="728"/>
      <c r="O1161" s="724">
        <f t="shared" si="108"/>
        <v>0</v>
      </c>
      <c r="P1161" s="724">
        <f t="shared" si="109"/>
        <v>0</v>
      </c>
      <c r="Q1161" s="674"/>
    </row>
    <row r="1162" spans="2:17">
      <c r="B1162" s="330"/>
      <c r="C1162" s="720">
        <f>IF(D1133="","-",+C1161+1)</f>
        <v>2038</v>
      </c>
      <c r="D1162" s="673">
        <f t="shared" si="110"/>
        <v>593507.09931818198</v>
      </c>
      <c r="E1162" s="726">
        <f t="shared" si="111"/>
        <v>27604.981363636361</v>
      </c>
      <c r="F1162" s="726">
        <f t="shared" si="104"/>
        <v>565902.11795454565</v>
      </c>
      <c r="G1162" s="673">
        <f t="shared" si="105"/>
        <v>579704.60863636388</v>
      </c>
      <c r="H1162" s="721">
        <f>+J1134*G1162+E1162</f>
        <v>116538.93689928646</v>
      </c>
      <c r="I1162" s="727">
        <f>+J1135*G1162+E1162</f>
        <v>116538.93689928646</v>
      </c>
      <c r="J1162" s="724">
        <f t="shared" si="106"/>
        <v>0</v>
      </c>
      <c r="K1162" s="724"/>
      <c r="L1162" s="728"/>
      <c r="M1162" s="724">
        <f t="shared" si="107"/>
        <v>0</v>
      </c>
      <c r="N1162" s="728"/>
      <c r="O1162" s="724">
        <f t="shared" si="108"/>
        <v>0</v>
      </c>
      <c r="P1162" s="724">
        <f t="shared" si="109"/>
        <v>0</v>
      </c>
      <c r="Q1162" s="674"/>
    </row>
    <row r="1163" spans="2:17">
      <c r="B1163" s="330"/>
      <c r="C1163" s="720">
        <f>IF(D1133="","-",+C1162+1)</f>
        <v>2039</v>
      </c>
      <c r="D1163" s="673">
        <f t="shared" si="110"/>
        <v>565902.11795454565</v>
      </c>
      <c r="E1163" s="726">
        <f t="shared" si="111"/>
        <v>27604.981363636361</v>
      </c>
      <c r="F1163" s="726">
        <f t="shared" si="104"/>
        <v>538297.13659090933</v>
      </c>
      <c r="G1163" s="673">
        <f t="shared" si="105"/>
        <v>552099.62727272743</v>
      </c>
      <c r="H1163" s="721">
        <f>+J1134*G1163+E1163</f>
        <v>112303.98663568406</v>
      </c>
      <c r="I1163" s="727">
        <f>+J1135*G1163+E1163</f>
        <v>112303.98663568406</v>
      </c>
      <c r="J1163" s="724">
        <f t="shared" si="106"/>
        <v>0</v>
      </c>
      <c r="K1163" s="724"/>
      <c r="L1163" s="728"/>
      <c r="M1163" s="724">
        <f t="shared" si="107"/>
        <v>0</v>
      </c>
      <c r="N1163" s="728"/>
      <c r="O1163" s="724">
        <f t="shared" si="108"/>
        <v>0</v>
      </c>
      <c r="P1163" s="724">
        <f t="shared" si="109"/>
        <v>0</v>
      </c>
      <c r="Q1163" s="674"/>
    </row>
    <row r="1164" spans="2:17">
      <c r="B1164" s="330"/>
      <c r="C1164" s="720">
        <f>IF(D1133="","-",+C1163+1)</f>
        <v>2040</v>
      </c>
      <c r="D1164" s="673">
        <f t="shared" si="110"/>
        <v>538297.13659090933</v>
      </c>
      <c r="E1164" s="726">
        <f t="shared" si="111"/>
        <v>27604.981363636361</v>
      </c>
      <c r="F1164" s="726">
        <f t="shared" si="104"/>
        <v>510692.15522727295</v>
      </c>
      <c r="G1164" s="673">
        <f t="shared" si="105"/>
        <v>524494.64590909111</v>
      </c>
      <c r="H1164" s="721">
        <f>+J1134*G1164+E1164</f>
        <v>108069.0363720817</v>
      </c>
      <c r="I1164" s="727">
        <f>+J1135*G1164+E1164</f>
        <v>108069.0363720817</v>
      </c>
      <c r="J1164" s="724">
        <f t="shared" si="106"/>
        <v>0</v>
      </c>
      <c r="K1164" s="724"/>
      <c r="L1164" s="728"/>
      <c r="M1164" s="724">
        <f t="shared" si="107"/>
        <v>0</v>
      </c>
      <c r="N1164" s="728"/>
      <c r="O1164" s="724">
        <f t="shared" si="108"/>
        <v>0</v>
      </c>
      <c r="P1164" s="724">
        <f t="shared" si="109"/>
        <v>0</v>
      </c>
      <c r="Q1164" s="674"/>
    </row>
    <row r="1165" spans="2:17">
      <c r="B1165" s="330"/>
      <c r="C1165" s="720">
        <f>IF(D1133="","-",+C1164+1)</f>
        <v>2041</v>
      </c>
      <c r="D1165" s="673">
        <f t="shared" si="110"/>
        <v>510692.15522727295</v>
      </c>
      <c r="E1165" s="726">
        <f t="shared" si="111"/>
        <v>27604.981363636361</v>
      </c>
      <c r="F1165" s="726">
        <f t="shared" si="104"/>
        <v>483087.17386363656</v>
      </c>
      <c r="G1165" s="673">
        <f t="shared" si="105"/>
        <v>496889.66454545478</v>
      </c>
      <c r="H1165" s="721">
        <f>+J1134*G1165+E1165</f>
        <v>103834.08610847933</v>
      </c>
      <c r="I1165" s="727">
        <f>+J1135*G1165+E1165</f>
        <v>103834.08610847933</v>
      </c>
      <c r="J1165" s="724">
        <f t="shared" si="106"/>
        <v>0</v>
      </c>
      <c r="K1165" s="724"/>
      <c r="L1165" s="728"/>
      <c r="M1165" s="724">
        <f t="shared" si="107"/>
        <v>0</v>
      </c>
      <c r="N1165" s="728"/>
      <c r="O1165" s="724">
        <f t="shared" si="108"/>
        <v>0</v>
      </c>
      <c r="P1165" s="724">
        <f t="shared" si="109"/>
        <v>0</v>
      </c>
      <c r="Q1165" s="674"/>
    </row>
    <row r="1166" spans="2:17">
      <c r="B1166" s="330"/>
      <c r="C1166" s="720">
        <f>IF(D1133="","-",+C1165+1)</f>
        <v>2042</v>
      </c>
      <c r="D1166" s="673">
        <f t="shared" si="110"/>
        <v>483087.17386363656</v>
      </c>
      <c r="E1166" s="726">
        <f t="shared" si="111"/>
        <v>27604.981363636361</v>
      </c>
      <c r="F1166" s="726">
        <f t="shared" si="104"/>
        <v>455482.19250000018</v>
      </c>
      <c r="G1166" s="673">
        <f t="shared" si="105"/>
        <v>469284.68318181834</v>
      </c>
      <c r="H1166" s="721">
        <f>+J1134*G1166+E1166</f>
        <v>99599.135844876932</v>
      </c>
      <c r="I1166" s="727">
        <f>+J1135*G1166+E1166</f>
        <v>99599.135844876932</v>
      </c>
      <c r="J1166" s="724">
        <f t="shared" si="106"/>
        <v>0</v>
      </c>
      <c r="K1166" s="724"/>
      <c r="L1166" s="728"/>
      <c r="M1166" s="724">
        <f t="shared" si="107"/>
        <v>0</v>
      </c>
      <c r="N1166" s="728"/>
      <c r="O1166" s="724">
        <f t="shared" si="108"/>
        <v>0</v>
      </c>
      <c r="P1166" s="724">
        <f t="shared" si="109"/>
        <v>0</v>
      </c>
      <c r="Q1166" s="674"/>
    </row>
    <row r="1167" spans="2:17">
      <c r="B1167" s="330"/>
      <c r="C1167" s="720">
        <f>IF(D1133="","-",+C1166+1)</f>
        <v>2043</v>
      </c>
      <c r="D1167" s="673">
        <f t="shared" si="110"/>
        <v>455482.19250000018</v>
      </c>
      <c r="E1167" s="726">
        <f t="shared" si="111"/>
        <v>27604.981363636361</v>
      </c>
      <c r="F1167" s="726">
        <f t="shared" si="104"/>
        <v>427877.2111363638</v>
      </c>
      <c r="G1167" s="673">
        <f t="shared" si="105"/>
        <v>441679.70181818202</v>
      </c>
      <c r="H1167" s="721">
        <f>+J1134*G1167+E1167</f>
        <v>95364.185581274534</v>
      </c>
      <c r="I1167" s="727">
        <f>+J1135*G1167+E1167</f>
        <v>95364.185581274534</v>
      </c>
      <c r="J1167" s="724">
        <f t="shared" si="106"/>
        <v>0</v>
      </c>
      <c r="K1167" s="724"/>
      <c r="L1167" s="728"/>
      <c r="M1167" s="724">
        <f t="shared" si="107"/>
        <v>0</v>
      </c>
      <c r="N1167" s="728"/>
      <c r="O1167" s="724">
        <f t="shared" si="108"/>
        <v>0</v>
      </c>
      <c r="P1167" s="724">
        <f t="shared" si="109"/>
        <v>0</v>
      </c>
      <c r="Q1167" s="674"/>
    </row>
    <row r="1168" spans="2:17">
      <c r="B1168" s="330"/>
      <c r="C1168" s="720">
        <f>IF(D1133="","-",+C1167+1)</f>
        <v>2044</v>
      </c>
      <c r="D1168" s="673">
        <f t="shared" si="110"/>
        <v>427877.2111363638</v>
      </c>
      <c r="E1168" s="726">
        <f t="shared" si="111"/>
        <v>27604.981363636361</v>
      </c>
      <c r="F1168" s="726">
        <f t="shared" si="104"/>
        <v>400272.22977272741</v>
      </c>
      <c r="G1168" s="673">
        <f t="shared" si="105"/>
        <v>414074.72045454558</v>
      </c>
      <c r="H1168" s="721">
        <f>+J1134*G1168+E1168</f>
        <v>91129.235317672152</v>
      </c>
      <c r="I1168" s="727">
        <f>+J1135*G1168+E1168</f>
        <v>91129.235317672152</v>
      </c>
      <c r="J1168" s="724">
        <f t="shared" si="106"/>
        <v>0</v>
      </c>
      <c r="K1168" s="724"/>
      <c r="L1168" s="728"/>
      <c r="M1168" s="724">
        <f t="shared" si="107"/>
        <v>0</v>
      </c>
      <c r="N1168" s="728"/>
      <c r="O1168" s="724">
        <f t="shared" si="108"/>
        <v>0</v>
      </c>
      <c r="P1168" s="724">
        <f t="shared" si="109"/>
        <v>0</v>
      </c>
      <c r="Q1168" s="674"/>
    </row>
    <row r="1169" spans="2:17">
      <c r="B1169" s="330"/>
      <c r="C1169" s="720">
        <f>IF(D1133="","-",+C1168+1)</f>
        <v>2045</v>
      </c>
      <c r="D1169" s="673">
        <f t="shared" si="110"/>
        <v>400272.22977272741</v>
      </c>
      <c r="E1169" s="726">
        <f t="shared" si="111"/>
        <v>27604.981363636361</v>
      </c>
      <c r="F1169" s="726">
        <f t="shared" si="104"/>
        <v>372667.24840909103</v>
      </c>
      <c r="G1169" s="673">
        <f t="shared" si="105"/>
        <v>386469.73909090925</v>
      </c>
      <c r="H1169" s="721">
        <f>+J1134*G1169+E1169</f>
        <v>86894.285054069769</v>
      </c>
      <c r="I1169" s="727">
        <f>+J1135*G1169+E1169</f>
        <v>86894.285054069769</v>
      </c>
      <c r="J1169" s="724">
        <f t="shared" si="106"/>
        <v>0</v>
      </c>
      <c r="K1169" s="724"/>
      <c r="L1169" s="728"/>
      <c r="M1169" s="724">
        <f t="shared" si="107"/>
        <v>0</v>
      </c>
      <c r="N1169" s="728"/>
      <c r="O1169" s="724">
        <f t="shared" si="108"/>
        <v>0</v>
      </c>
      <c r="P1169" s="724">
        <f t="shared" si="109"/>
        <v>0</v>
      </c>
      <c r="Q1169" s="674"/>
    </row>
    <row r="1170" spans="2:17">
      <c r="B1170" s="330"/>
      <c r="C1170" s="720">
        <f>IF(D1133="","-",+C1169+1)</f>
        <v>2046</v>
      </c>
      <c r="D1170" s="673">
        <f t="shared" si="110"/>
        <v>372667.24840909103</v>
      </c>
      <c r="E1170" s="726">
        <f t="shared" si="111"/>
        <v>27604.981363636361</v>
      </c>
      <c r="F1170" s="726">
        <f t="shared" si="104"/>
        <v>345062.26704545465</v>
      </c>
      <c r="G1170" s="673">
        <f t="shared" si="105"/>
        <v>358864.75772727281</v>
      </c>
      <c r="H1170" s="721">
        <f>+J1134*G1170+E1170</f>
        <v>82659.334790467372</v>
      </c>
      <c r="I1170" s="727">
        <f>+J1135*G1170+E1170</f>
        <v>82659.334790467372</v>
      </c>
      <c r="J1170" s="724">
        <f t="shared" si="106"/>
        <v>0</v>
      </c>
      <c r="K1170" s="724"/>
      <c r="L1170" s="728"/>
      <c r="M1170" s="724">
        <f t="shared" si="107"/>
        <v>0</v>
      </c>
      <c r="N1170" s="728"/>
      <c r="O1170" s="724">
        <f t="shared" si="108"/>
        <v>0</v>
      </c>
      <c r="P1170" s="724">
        <f t="shared" si="109"/>
        <v>0</v>
      </c>
      <c r="Q1170" s="674"/>
    </row>
    <row r="1171" spans="2:17">
      <c r="B1171" s="330"/>
      <c r="C1171" s="720">
        <f>IF(D1133="","-",+C1170+1)</f>
        <v>2047</v>
      </c>
      <c r="D1171" s="673">
        <f t="shared" si="110"/>
        <v>345062.26704545465</v>
      </c>
      <c r="E1171" s="726">
        <f t="shared" si="111"/>
        <v>27604.981363636361</v>
      </c>
      <c r="F1171" s="726">
        <f t="shared" si="104"/>
        <v>317457.28568181826</v>
      </c>
      <c r="G1171" s="673">
        <f t="shared" si="105"/>
        <v>331259.77636363648</v>
      </c>
      <c r="H1171" s="721">
        <f>+J1134*G1171+E1171</f>
        <v>78424.384526865004</v>
      </c>
      <c r="I1171" s="727">
        <f>+J1135*G1171+E1171</f>
        <v>78424.384526865004</v>
      </c>
      <c r="J1171" s="724">
        <f t="shared" si="106"/>
        <v>0</v>
      </c>
      <c r="K1171" s="724"/>
      <c r="L1171" s="728"/>
      <c r="M1171" s="724">
        <f t="shared" si="107"/>
        <v>0</v>
      </c>
      <c r="N1171" s="728"/>
      <c r="O1171" s="724">
        <f t="shared" si="108"/>
        <v>0</v>
      </c>
      <c r="P1171" s="724">
        <f t="shared" si="109"/>
        <v>0</v>
      </c>
      <c r="Q1171" s="674"/>
    </row>
    <row r="1172" spans="2:17">
      <c r="B1172" s="330"/>
      <c r="C1172" s="720">
        <f>IF(D1133="","-",+C1171+1)</f>
        <v>2048</v>
      </c>
      <c r="D1172" s="673">
        <f t="shared" si="110"/>
        <v>317457.28568181826</v>
      </c>
      <c r="E1172" s="726">
        <f t="shared" si="111"/>
        <v>27604.981363636361</v>
      </c>
      <c r="F1172" s="726">
        <f t="shared" si="104"/>
        <v>289852.30431818188</v>
      </c>
      <c r="G1172" s="673">
        <f t="shared" si="105"/>
        <v>303654.79500000004</v>
      </c>
      <c r="H1172" s="721">
        <f>+J1134*G1172+E1172</f>
        <v>74189.434263262607</v>
      </c>
      <c r="I1172" s="727">
        <f>+J1135*G1172+E1172</f>
        <v>74189.434263262607</v>
      </c>
      <c r="J1172" s="724">
        <f t="shared" si="106"/>
        <v>0</v>
      </c>
      <c r="K1172" s="724"/>
      <c r="L1172" s="728"/>
      <c r="M1172" s="724">
        <f t="shared" si="107"/>
        <v>0</v>
      </c>
      <c r="N1172" s="728"/>
      <c r="O1172" s="724">
        <f t="shared" si="108"/>
        <v>0</v>
      </c>
      <c r="P1172" s="724">
        <f t="shared" si="109"/>
        <v>0</v>
      </c>
      <c r="Q1172" s="674"/>
    </row>
    <row r="1173" spans="2:17">
      <c r="B1173" s="330"/>
      <c r="C1173" s="720">
        <f>IF(D1133="","-",+C1172+1)</f>
        <v>2049</v>
      </c>
      <c r="D1173" s="673">
        <f t="shared" si="110"/>
        <v>289852.30431818188</v>
      </c>
      <c r="E1173" s="726">
        <f t="shared" si="111"/>
        <v>27604.981363636361</v>
      </c>
      <c r="F1173" s="726">
        <f t="shared" si="104"/>
        <v>262247.3229545455</v>
      </c>
      <c r="G1173" s="673">
        <f t="shared" si="105"/>
        <v>276049.81363636372</v>
      </c>
      <c r="H1173" s="721">
        <f>+J1134*G1173+E1173</f>
        <v>69954.48399966021</v>
      </c>
      <c r="I1173" s="727">
        <f>+J1135*G1173+E1173</f>
        <v>69954.48399966021</v>
      </c>
      <c r="J1173" s="724">
        <f t="shared" si="106"/>
        <v>0</v>
      </c>
      <c r="K1173" s="724"/>
      <c r="L1173" s="728"/>
      <c r="M1173" s="724">
        <f t="shared" si="107"/>
        <v>0</v>
      </c>
      <c r="N1173" s="728"/>
      <c r="O1173" s="724">
        <f t="shared" si="108"/>
        <v>0</v>
      </c>
      <c r="P1173" s="724">
        <f t="shared" si="109"/>
        <v>0</v>
      </c>
      <c r="Q1173" s="674"/>
    </row>
    <row r="1174" spans="2:17">
      <c r="B1174" s="330"/>
      <c r="C1174" s="720">
        <f>IF(D1133="","-",+C1173+1)</f>
        <v>2050</v>
      </c>
      <c r="D1174" s="673">
        <f t="shared" si="110"/>
        <v>262247.3229545455</v>
      </c>
      <c r="E1174" s="726">
        <f t="shared" si="111"/>
        <v>27604.981363636361</v>
      </c>
      <c r="F1174" s="726">
        <f t="shared" si="104"/>
        <v>234642.34159090914</v>
      </c>
      <c r="G1174" s="673">
        <f t="shared" si="105"/>
        <v>248444.83227272733</v>
      </c>
      <c r="H1174" s="721">
        <f>+J1134*G1174+E1174</f>
        <v>65719.533736057841</v>
      </c>
      <c r="I1174" s="727">
        <f>+J1135*G1174+E1174</f>
        <v>65719.533736057841</v>
      </c>
      <c r="J1174" s="724">
        <f t="shared" si="106"/>
        <v>0</v>
      </c>
      <c r="K1174" s="724"/>
      <c r="L1174" s="728"/>
      <c r="M1174" s="724">
        <f t="shared" si="107"/>
        <v>0</v>
      </c>
      <c r="N1174" s="728"/>
      <c r="O1174" s="724">
        <f t="shared" si="108"/>
        <v>0</v>
      </c>
      <c r="P1174" s="724">
        <f t="shared" si="109"/>
        <v>0</v>
      </c>
      <c r="Q1174" s="674"/>
    </row>
    <row r="1175" spans="2:17">
      <c r="B1175" s="330"/>
      <c r="C1175" s="720">
        <f>IF(D1133="","-",+C1174+1)</f>
        <v>2051</v>
      </c>
      <c r="D1175" s="673">
        <f t="shared" si="110"/>
        <v>234642.34159090914</v>
      </c>
      <c r="E1175" s="726">
        <f t="shared" si="111"/>
        <v>27604.981363636361</v>
      </c>
      <c r="F1175" s="726">
        <f t="shared" si="104"/>
        <v>207037.36022727279</v>
      </c>
      <c r="G1175" s="673">
        <f t="shared" si="105"/>
        <v>220839.85090909095</v>
      </c>
      <c r="H1175" s="721">
        <f>+J1134*G1175+E1175</f>
        <v>61484.583472455444</v>
      </c>
      <c r="I1175" s="727">
        <f>+J1135*G1175+E1175</f>
        <v>61484.583472455444</v>
      </c>
      <c r="J1175" s="724">
        <f t="shared" si="106"/>
        <v>0</v>
      </c>
      <c r="K1175" s="724"/>
      <c r="L1175" s="728"/>
      <c r="M1175" s="724">
        <f t="shared" si="107"/>
        <v>0</v>
      </c>
      <c r="N1175" s="728"/>
      <c r="O1175" s="724">
        <f t="shared" si="108"/>
        <v>0</v>
      </c>
      <c r="P1175" s="724">
        <f t="shared" si="109"/>
        <v>0</v>
      </c>
      <c r="Q1175" s="674"/>
    </row>
    <row r="1176" spans="2:17">
      <c r="B1176" s="330"/>
      <c r="C1176" s="720">
        <f>IF(D1133="","-",+C1175+1)</f>
        <v>2052</v>
      </c>
      <c r="D1176" s="673">
        <f t="shared" si="110"/>
        <v>207037.36022727279</v>
      </c>
      <c r="E1176" s="726">
        <f t="shared" si="111"/>
        <v>27604.981363636361</v>
      </c>
      <c r="F1176" s="726">
        <f t="shared" si="104"/>
        <v>179432.37886363643</v>
      </c>
      <c r="G1176" s="673">
        <f t="shared" si="105"/>
        <v>193234.86954545463</v>
      </c>
      <c r="H1176" s="721">
        <f>+J1134*G1176+E1176</f>
        <v>57249.633208853062</v>
      </c>
      <c r="I1176" s="727">
        <f>+J1135*G1176+E1176</f>
        <v>57249.633208853062</v>
      </c>
      <c r="J1176" s="724">
        <f t="shared" si="106"/>
        <v>0</v>
      </c>
      <c r="K1176" s="724"/>
      <c r="L1176" s="728"/>
      <c r="M1176" s="724">
        <f t="shared" si="107"/>
        <v>0</v>
      </c>
      <c r="N1176" s="728"/>
      <c r="O1176" s="724">
        <f t="shared" si="108"/>
        <v>0</v>
      </c>
      <c r="P1176" s="724">
        <f t="shared" si="109"/>
        <v>0</v>
      </c>
      <c r="Q1176" s="674"/>
    </row>
    <row r="1177" spans="2:17">
      <c r="B1177" s="330"/>
      <c r="C1177" s="720">
        <f>IF(D1133="","-",+C1176+1)</f>
        <v>2053</v>
      </c>
      <c r="D1177" s="673">
        <f t="shared" si="110"/>
        <v>179432.37886363643</v>
      </c>
      <c r="E1177" s="726">
        <f t="shared" si="111"/>
        <v>27604.981363636361</v>
      </c>
      <c r="F1177" s="726">
        <f t="shared" si="104"/>
        <v>151827.39750000008</v>
      </c>
      <c r="G1177" s="673">
        <f t="shared" si="105"/>
        <v>165629.88818181824</v>
      </c>
      <c r="H1177" s="721">
        <f>+J1134*G1177+E1177</f>
        <v>53014.682945250679</v>
      </c>
      <c r="I1177" s="727">
        <f>+J1135*G1177+E1177</f>
        <v>53014.682945250679</v>
      </c>
      <c r="J1177" s="724">
        <f t="shared" si="106"/>
        <v>0</v>
      </c>
      <c r="K1177" s="724"/>
      <c r="L1177" s="728"/>
      <c r="M1177" s="724">
        <f t="shared" si="107"/>
        <v>0</v>
      </c>
      <c r="N1177" s="728"/>
      <c r="O1177" s="724">
        <f t="shared" si="108"/>
        <v>0</v>
      </c>
      <c r="P1177" s="724">
        <f t="shared" si="109"/>
        <v>0</v>
      </c>
      <c r="Q1177" s="674"/>
    </row>
    <row r="1178" spans="2:17">
      <c r="B1178" s="330"/>
      <c r="C1178" s="720">
        <f>IF(D1133="","-",+C1177+1)</f>
        <v>2054</v>
      </c>
      <c r="D1178" s="673">
        <f t="shared" si="110"/>
        <v>151827.39750000008</v>
      </c>
      <c r="E1178" s="726">
        <f t="shared" si="111"/>
        <v>27604.981363636361</v>
      </c>
      <c r="F1178" s="726">
        <f t="shared" si="104"/>
        <v>124222.41613636372</v>
      </c>
      <c r="G1178" s="673">
        <f t="shared" si="105"/>
        <v>138024.90681818192</v>
      </c>
      <c r="H1178" s="721">
        <f>+J1134*G1178+E1178</f>
        <v>48779.732681648296</v>
      </c>
      <c r="I1178" s="727">
        <f>+J1135*G1178+E1178</f>
        <v>48779.732681648296</v>
      </c>
      <c r="J1178" s="724">
        <f t="shared" si="106"/>
        <v>0</v>
      </c>
      <c r="K1178" s="724"/>
      <c r="L1178" s="728"/>
      <c r="M1178" s="724">
        <f t="shared" si="107"/>
        <v>0</v>
      </c>
      <c r="N1178" s="728"/>
      <c r="O1178" s="724">
        <f t="shared" si="108"/>
        <v>0</v>
      </c>
      <c r="P1178" s="724">
        <f t="shared" si="109"/>
        <v>0</v>
      </c>
      <c r="Q1178" s="674"/>
    </row>
    <row r="1179" spans="2:17">
      <c r="B1179" s="330"/>
      <c r="C1179" s="720">
        <f>IF(D1133="","-",+C1178+1)</f>
        <v>2055</v>
      </c>
      <c r="D1179" s="673">
        <f t="shared" si="110"/>
        <v>124222.41613636372</v>
      </c>
      <c r="E1179" s="726">
        <f t="shared" si="111"/>
        <v>27604.981363636361</v>
      </c>
      <c r="F1179" s="726">
        <f t="shared" si="104"/>
        <v>96617.434772727371</v>
      </c>
      <c r="G1179" s="673">
        <f t="shared" si="105"/>
        <v>110419.92545454555</v>
      </c>
      <c r="H1179" s="721">
        <f>+J1134*G1179+E1179</f>
        <v>44544.782418045914</v>
      </c>
      <c r="I1179" s="727">
        <f>+J1135*G1179+E1179</f>
        <v>44544.782418045914</v>
      </c>
      <c r="J1179" s="724">
        <f t="shared" si="106"/>
        <v>0</v>
      </c>
      <c r="K1179" s="724"/>
      <c r="L1179" s="728"/>
      <c r="M1179" s="724">
        <f t="shared" si="107"/>
        <v>0</v>
      </c>
      <c r="N1179" s="728"/>
      <c r="O1179" s="724">
        <f t="shared" si="108"/>
        <v>0</v>
      </c>
      <c r="P1179" s="724">
        <f t="shared" si="109"/>
        <v>0</v>
      </c>
      <c r="Q1179" s="674"/>
    </row>
    <row r="1180" spans="2:17">
      <c r="B1180" s="330"/>
      <c r="C1180" s="720">
        <f>IF(D1133="","-",+C1179+1)</f>
        <v>2056</v>
      </c>
      <c r="D1180" s="673">
        <f t="shared" si="110"/>
        <v>96617.434772727371</v>
      </c>
      <c r="E1180" s="726">
        <f t="shared" si="111"/>
        <v>27604.981363636361</v>
      </c>
      <c r="F1180" s="726">
        <f t="shared" si="104"/>
        <v>69012.453409091017</v>
      </c>
      <c r="G1180" s="673">
        <f t="shared" si="105"/>
        <v>82814.944090909194</v>
      </c>
      <c r="H1180" s="721">
        <f>+J1134*G1180+E1180</f>
        <v>40309.832154443531</v>
      </c>
      <c r="I1180" s="727">
        <f>+J1135*G1180+E1180</f>
        <v>40309.832154443531</v>
      </c>
      <c r="J1180" s="724">
        <f t="shared" si="106"/>
        <v>0</v>
      </c>
      <c r="K1180" s="724"/>
      <c r="L1180" s="728"/>
      <c r="M1180" s="724">
        <f t="shared" si="107"/>
        <v>0</v>
      </c>
      <c r="N1180" s="728"/>
      <c r="O1180" s="724">
        <f t="shared" si="108"/>
        <v>0</v>
      </c>
      <c r="P1180" s="724">
        <f t="shared" si="109"/>
        <v>0</v>
      </c>
      <c r="Q1180" s="674"/>
    </row>
    <row r="1181" spans="2:17">
      <c r="B1181" s="330"/>
      <c r="C1181" s="720">
        <f>IF(D1133="","-",+C1180+1)</f>
        <v>2057</v>
      </c>
      <c r="D1181" s="673">
        <f t="shared" si="110"/>
        <v>69012.453409091017</v>
      </c>
      <c r="E1181" s="726">
        <f t="shared" si="111"/>
        <v>27604.981363636361</v>
      </c>
      <c r="F1181" s="726">
        <f t="shared" si="104"/>
        <v>41407.472045454655</v>
      </c>
      <c r="G1181" s="673">
        <f t="shared" si="105"/>
        <v>55209.962727272839</v>
      </c>
      <c r="H1181" s="721">
        <f>+J1134*G1181+E1181</f>
        <v>36074.881890841149</v>
      </c>
      <c r="I1181" s="727">
        <f>+J1135*G1181+E1181</f>
        <v>36074.881890841149</v>
      </c>
      <c r="J1181" s="724">
        <f t="shared" si="106"/>
        <v>0</v>
      </c>
      <c r="K1181" s="724"/>
      <c r="L1181" s="728"/>
      <c r="M1181" s="724">
        <f t="shared" si="107"/>
        <v>0</v>
      </c>
      <c r="N1181" s="728"/>
      <c r="O1181" s="724">
        <f t="shared" si="108"/>
        <v>0</v>
      </c>
      <c r="P1181" s="724">
        <f t="shared" si="109"/>
        <v>0</v>
      </c>
      <c r="Q1181" s="674"/>
    </row>
    <row r="1182" spans="2:17">
      <c r="B1182" s="330"/>
      <c r="C1182" s="720">
        <f>IF(D1133="","-",+C1181+1)</f>
        <v>2058</v>
      </c>
      <c r="D1182" s="673">
        <f t="shared" si="110"/>
        <v>41407.472045454655</v>
      </c>
      <c r="E1182" s="726">
        <f t="shared" si="111"/>
        <v>27604.981363636361</v>
      </c>
      <c r="F1182" s="726">
        <f t="shared" si="104"/>
        <v>13802.490681818294</v>
      </c>
      <c r="G1182" s="673">
        <f t="shared" si="105"/>
        <v>27604.981363636474</v>
      </c>
      <c r="H1182" s="721">
        <f>+J1134*G1182+E1182</f>
        <v>31839.931627238762</v>
      </c>
      <c r="I1182" s="727">
        <f>+J1135*G1182+E1182</f>
        <v>31839.931627238762</v>
      </c>
      <c r="J1182" s="724">
        <f t="shared" si="106"/>
        <v>0</v>
      </c>
      <c r="K1182" s="724"/>
      <c r="L1182" s="728"/>
      <c r="M1182" s="724">
        <f t="shared" si="107"/>
        <v>0</v>
      </c>
      <c r="N1182" s="728"/>
      <c r="O1182" s="724">
        <f t="shared" si="108"/>
        <v>0</v>
      </c>
      <c r="P1182" s="724">
        <f t="shared" si="109"/>
        <v>0</v>
      </c>
      <c r="Q1182" s="674"/>
    </row>
    <row r="1183" spans="2:17">
      <c r="B1183" s="330"/>
      <c r="C1183" s="720">
        <f>IF(D1133="","-",+C1182+1)</f>
        <v>2059</v>
      </c>
      <c r="D1183" s="673">
        <f t="shared" si="110"/>
        <v>13802.490681818294</v>
      </c>
      <c r="E1183" s="726">
        <f t="shared" si="111"/>
        <v>13802.490681818294</v>
      </c>
      <c r="F1183" s="726">
        <f t="shared" si="104"/>
        <v>0</v>
      </c>
      <c r="G1183" s="673">
        <f t="shared" si="105"/>
        <v>6901.2453409091468</v>
      </c>
      <c r="H1183" s="721">
        <f>+J1134*G1183+E1183</f>
        <v>14861.228247718898</v>
      </c>
      <c r="I1183" s="727">
        <f>+J1135*G1183+E1183</f>
        <v>14861.228247718898</v>
      </c>
      <c r="J1183" s="724">
        <f t="shared" si="106"/>
        <v>0</v>
      </c>
      <c r="K1183" s="724"/>
      <c r="L1183" s="728"/>
      <c r="M1183" s="724">
        <f t="shared" si="107"/>
        <v>0</v>
      </c>
      <c r="N1183" s="728"/>
      <c r="O1183" s="724">
        <f t="shared" si="108"/>
        <v>0</v>
      </c>
      <c r="P1183" s="724">
        <f t="shared" si="109"/>
        <v>0</v>
      </c>
      <c r="Q1183" s="674"/>
    </row>
    <row r="1184" spans="2:17">
      <c r="B1184" s="330"/>
      <c r="C1184" s="720">
        <f>IF(D1133="","-",+C1183+1)</f>
        <v>2060</v>
      </c>
      <c r="D1184" s="673">
        <f t="shared" si="110"/>
        <v>0</v>
      </c>
      <c r="E1184" s="726">
        <f t="shared" si="111"/>
        <v>0</v>
      </c>
      <c r="F1184" s="726">
        <f t="shared" si="104"/>
        <v>0</v>
      </c>
      <c r="G1184" s="673">
        <f t="shared" si="105"/>
        <v>0</v>
      </c>
      <c r="H1184" s="721">
        <f>+J1134*G1184+E1184</f>
        <v>0</v>
      </c>
      <c r="I1184" s="727">
        <f>+J1135*G1184+E1184</f>
        <v>0</v>
      </c>
      <c r="J1184" s="724">
        <f t="shared" si="106"/>
        <v>0</v>
      </c>
      <c r="K1184" s="724"/>
      <c r="L1184" s="728"/>
      <c r="M1184" s="724">
        <f t="shared" si="107"/>
        <v>0</v>
      </c>
      <c r="N1184" s="728"/>
      <c r="O1184" s="724">
        <f t="shared" si="108"/>
        <v>0</v>
      </c>
      <c r="P1184" s="724">
        <f t="shared" si="109"/>
        <v>0</v>
      </c>
      <c r="Q1184" s="674"/>
    </row>
    <row r="1185" spans="2:17">
      <c r="B1185" s="330"/>
      <c r="C1185" s="720">
        <f>IF(D1133="","-",+C1184+1)</f>
        <v>2061</v>
      </c>
      <c r="D1185" s="673">
        <f t="shared" si="110"/>
        <v>0</v>
      </c>
      <c r="E1185" s="726">
        <f t="shared" si="111"/>
        <v>0</v>
      </c>
      <c r="F1185" s="726">
        <f t="shared" si="104"/>
        <v>0</v>
      </c>
      <c r="G1185" s="673">
        <f t="shared" si="105"/>
        <v>0</v>
      </c>
      <c r="H1185" s="721">
        <f>+J1134*G1185+E1185</f>
        <v>0</v>
      </c>
      <c r="I1185" s="727">
        <f>+J1135*G1185+E1185</f>
        <v>0</v>
      </c>
      <c r="J1185" s="724">
        <f t="shared" si="106"/>
        <v>0</v>
      </c>
      <c r="K1185" s="724"/>
      <c r="L1185" s="728"/>
      <c r="M1185" s="724">
        <f t="shared" si="107"/>
        <v>0</v>
      </c>
      <c r="N1185" s="728"/>
      <c r="O1185" s="724">
        <f t="shared" si="108"/>
        <v>0</v>
      </c>
      <c r="P1185" s="724">
        <f t="shared" si="109"/>
        <v>0</v>
      </c>
      <c r="Q1185" s="674"/>
    </row>
    <row r="1186" spans="2:17">
      <c r="B1186" s="330"/>
      <c r="C1186" s="720">
        <f>IF(D1133="","-",+C1185+1)</f>
        <v>2062</v>
      </c>
      <c r="D1186" s="673">
        <f t="shared" si="110"/>
        <v>0</v>
      </c>
      <c r="E1186" s="726">
        <f t="shared" si="111"/>
        <v>0</v>
      </c>
      <c r="F1186" s="726">
        <f t="shared" si="104"/>
        <v>0</v>
      </c>
      <c r="G1186" s="673">
        <f t="shared" si="105"/>
        <v>0</v>
      </c>
      <c r="H1186" s="721">
        <f>+J1134*G1186+E1186</f>
        <v>0</v>
      </c>
      <c r="I1186" s="727">
        <f>+J1135*G1186+E1186</f>
        <v>0</v>
      </c>
      <c r="J1186" s="724">
        <f t="shared" si="106"/>
        <v>0</v>
      </c>
      <c r="K1186" s="724"/>
      <c r="L1186" s="728"/>
      <c r="M1186" s="724">
        <f t="shared" si="107"/>
        <v>0</v>
      </c>
      <c r="N1186" s="728"/>
      <c r="O1186" s="724">
        <f t="shared" si="108"/>
        <v>0</v>
      </c>
      <c r="P1186" s="724">
        <f t="shared" si="109"/>
        <v>0</v>
      </c>
      <c r="Q1186" s="674"/>
    </row>
    <row r="1187" spans="2:17">
      <c r="B1187" s="330"/>
      <c r="C1187" s="720">
        <f>IF(D1133="","-",+C1186+1)</f>
        <v>2063</v>
      </c>
      <c r="D1187" s="673">
        <f t="shared" si="110"/>
        <v>0</v>
      </c>
      <c r="E1187" s="726">
        <f t="shared" si="111"/>
        <v>0</v>
      </c>
      <c r="F1187" s="726">
        <f t="shared" si="104"/>
        <v>0</v>
      </c>
      <c r="G1187" s="673">
        <f t="shared" si="105"/>
        <v>0</v>
      </c>
      <c r="H1187" s="721">
        <f>+J1134*G1187+E1187</f>
        <v>0</v>
      </c>
      <c r="I1187" s="727">
        <f>+J1135*G1187+E1187</f>
        <v>0</v>
      </c>
      <c r="J1187" s="724">
        <f t="shared" si="106"/>
        <v>0</v>
      </c>
      <c r="K1187" s="724"/>
      <c r="L1187" s="728"/>
      <c r="M1187" s="724">
        <f t="shared" si="107"/>
        <v>0</v>
      </c>
      <c r="N1187" s="728"/>
      <c r="O1187" s="724">
        <f t="shared" si="108"/>
        <v>0</v>
      </c>
      <c r="P1187" s="724">
        <f t="shared" si="109"/>
        <v>0</v>
      </c>
      <c r="Q1187" s="674"/>
    </row>
    <row r="1188" spans="2:17">
      <c r="B1188" s="330"/>
      <c r="C1188" s="720">
        <f>IF(D1133="","-",+C1187+1)</f>
        <v>2064</v>
      </c>
      <c r="D1188" s="673">
        <f t="shared" si="110"/>
        <v>0</v>
      </c>
      <c r="E1188" s="726">
        <f t="shared" si="111"/>
        <v>0</v>
      </c>
      <c r="F1188" s="726">
        <f t="shared" si="104"/>
        <v>0</v>
      </c>
      <c r="G1188" s="673">
        <f t="shared" si="105"/>
        <v>0</v>
      </c>
      <c r="H1188" s="721">
        <f>+J1134*G1188+E1188</f>
        <v>0</v>
      </c>
      <c r="I1188" s="727">
        <f>+J1135*G1188+E1188</f>
        <v>0</v>
      </c>
      <c r="J1188" s="724">
        <f t="shared" si="106"/>
        <v>0</v>
      </c>
      <c r="K1188" s="724"/>
      <c r="L1188" s="728"/>
      <c r="M1188" s="724">
        <f t="shared" si="107"/>
        <v>0</v>
      </c>
      <c r="N1188" s="728"/>
      <c r="O1188" s="724">
        <f t="shared" si="108"/>
        <v>0</v>
      </c>
      <c r="P1188" s="724">
        <f t="shared" si="109"/>
        <v>0</v>
      </c>
      <c r="Q1188" s="674"/>
    </row>
    <row r="1189" spans="2:17">
      <c r="B1189" s="330"/>
      <c r="C1189" s="720">
        <f>IF(D1133="","-",+C1188+1)</f>
        <v>2065</v>
      </c>
      <c r="D1189" s="673">
        <f t="shared" si="110"/>
        <v>0</v>
      </c>
      <c r="E1189" s="726">
        <f t="shared" si="111"/>
        <v>0</v>
      </c>
      <c r="F1189" s="726">
        <f t="shared" si="104"/>
        <v>0</v>
      </c>
      <c r="G1189" s="673">
        <f t="shared" si="105"/>
        <v>0</v>
      </c>
      <c r="H1189" s="721">
        <f>+J1134*G1189+E1189</f>
        <v>0</v>
      </c>
      <c r="I1189" s="727">
        <f>+J1135*G1189+E1189</f>
        <v>0</v>
      </c>
      <c r="J1189" s="724">
        <f t="shared" si="106"/>
        <v>0</v>
      </c>
      <c r="K1189" s="724"/>
      <c r="L1189" s="728"/>
      <c r="M1189" s="724">
        <f t="shared" si="107"/>
        <v>0</v>
      </c>
      <c r="N1189" s="728"/>
      <c r="O1189" s="724">
        <f t="shared" si="108"/>
        <v>0</v>
      </c>
      <c r="P1189" s="724">
        <f t="shared" si="109"/>
        <v>0</v>
      </c>
      <c r="Q1189" s="674"/>
    </row>
    <row r="1190" spans="2:17">
      <c r="B1190" s="330"/>
      <c r="C1190" s="720">
        <f>IF(D1133="","-",+C1189+1)</f>
        <v>2066</v>
      </c>
      <c r="D1190" s="673">
        <f t="shared" si="110"/>
        <v>0</v>
      </c>
      <c r="E1190" s="726">
        <f t="shared" si="111"/>
        <v>0</v>
      </c>
      <c r="F1190" s="726">
        <f t="shared" si="104"/>
        <v>0</v>
      </c>
      <c r="G1190" s="673">
        <f t="shared" si="105"/>
        <v>0</v>
      </c>
      <c r="H1190" s="721">
        <f>+J1134*G1190+E1190</f>
        <v>0</v>
      </c>
      <c r="I1190" s="727">
        <f>+J1135*G1190+E1190</f>
        <v>0</v>
      </c>
      <c r="J1190" s="724">
        <f t="shared" si="106"/>
        <v>0</v>
      </c>
      <c r="K1190" s="724"/>
      <c r="L1190" s="728"/>
      <c r="M1190" s="724">
        <f t="shared" si="107"/>
        <v>0</v>
      </c>
      <c r="N1190" s="728"/>
      <c r="O1190" s="724">
        <f t="shared" si="108"/>
        <v>0</v>
      </c>
      <c r="P1190" s="724">
        <f t="shared" si="109"/>
        <v>0</v>
      </c>
      <c r="Q1190" s="674"/>
    </row>
    <row r="1191" spans="2:17">
      <c r="B1191" s="330"/>
      <c r="C1191" s="720">
        <f>IF(D1133="","-",+C1190+1)</f>
        <v>2067</v>
      </c>
      <c r="D1191" s="673">
        <f t="shared" si="110"/>
        <v>0</v>
      </c>
      <c r="E1191" s="726">
        <f t="shared" si="111"/>
        <v>0</v>
      </c>
      <c r="F1191" s="726">
        <f t="shared" si="104"/>
        <v>0</v>
      </c>
      <c r="G1191" s="673">
        <f t="shared" si="105"/>
        <v>0</v>
      </c>
      <c r="H1191" s="721">
        <f>+J1134*G1191+E1191</f>
        <v>0</v>
      </c>
      <c r="I1191" s="727">
        <f>+J1135*G1191+E1191</f>
        <v>0</v>
      </c>
      <c r="J1191" s="724">
        <f t="shared" si="106"/>
        <v>0</v>
      </c>
      <c r="K1191" s="724"/>
      <c r="L1191" s="728"/>
      <c r="M1191" s="724">
        <f t="shared" si="107"/>
        <v>0</v>
      </c>
      <c r="N1191" s="728"/>
      <c r="O1191" s="724">
        <f t="shared" si="108"/>
        <v>0</v>
      </c>
      <c r="P1191" s="724">
        <f t="shared" si="109"/>
        <v>0</v>
      </c>
      <c r="Q1191" s="674"/>
    </row>
    <row r="1192" spans="2:17">
      <c r="B1192" s="330"/>
      <c r="C1192" s="720">
        <f>IF(D1133="","-",+C1191+1)</f>
        <v>2068</v>
      </c>
      <c r="D1192" s="673">
        <f t="shared" si="110"/>
        <v>0</v>
      </c>
      <c r="E1192" s="726">
        <f t="shared" si="111"/>
        <v>0</v>
      </c>
      <c r="F1192" s="726">
        <f t="shared" si="104"/>
        <v>0</v>
      </c>
      <c r="G1192" s="673">
        <f t="shared" si="105"/>
        <v>0</v>
      </c>
      <c r="H1192" s="721">
        <f>+J1134*G1192+E1192</f>
        <v>0</v>
      </c>
      <c r="I1192" s="727">
        <f>+J1135*G1192+E1192</f>
        <v>0</v>
      </c>
      <c r="J1192" s="724">
        <f t="shared" si="106"/>
        <v>0</v>
      </c>
      <c r="K1192" s="724"/>
      <c r="L1192" s="728"/>
      <c r="M1192" s="724">
        <f t="shared" si="107"/>
        <v>0</v>
      </c>
      <c r="N1192" s="728"/>
      <c r="O1192" s="724">
        <f t="shared" si="108"/>
        <v>0</v>
      </c>
      <c r="P1192" s="724">
        <f t="shared" si="109"/>
        <v>0</v>
      </c>
      <c r="Q1192" s="674"/>
    </row>
    <row r="1193" spans="2:17">
      <c r="B1193" s="330"/>
      <c r="C1193" s="720">
        <f>IF(D1133="","-",+C1192+1)</f>
        <v>2069</v>
      </c>
      <c r="D1193" s="673">
        <f t="shared" si="110"/>
        <v>0</v>
      </c>
      <c r="E1193" s="726">
        <f t="shared" si="111"/>
        <v>0</v>
      </c>
      <c r="F1193" s="726">
        <f t="shared" si="104"/>
        <v>0</v>
      </c>
      <c r="G1193" s="673">
        <f t="shared" si="105"/>
        <v>0</v>
      </c>
      <c r="H1193" s="721">
        <f>+J1134*G1193+E1193</f>
        <v>0</v>
      </c>
      <c r="I1193" s="727">
        <f>+J1135*G1193+E1193</f>
        <v>0</v>
      </c>
      <c r="J1193" s="724">
        <f t="shared" si="106"/>
        <v>0</v>
      </c>
      <c r="K1193" s="724"/>
      <c r="L1193" s="728"/>
      <c r="M1193" s="724">
        <f t="shared" si="107"/>
        <v>0</v>
      </c>
      <c r="N1193" s="728"/>
      <c r="O1193" s="724">
        <f t="shared" si="108"/>
        <v>0</v>
      </c>
      <c r="P1193" s="724">
        <f t="shared" si="109"/>
        <v>0</v>
      </c>
      <c r="Q1193" s="674"/>
    </row>
    <row r="1194" spans="2:17">
      <c r="B1194" s="330"/>
      <c r="C1194" s="720">
        <f>IF(D1133="","-",+C1193+1)</f>
        <v>2070</v>
      </c>
      <c r="D1194" s="673">
        <f t="shared" si="110"/>
        <v>0</v>
      </c>
      <c r="E1194" s="726">
        <f t="shared" si="111"/>
        <v>0</v>
      </c>
      <c r="F1194" s="726">
        <f t="shared" si="104"/>
        <v>0</v>
      </c>
      <c r="G1194" s="673">
        <f t="shared" si="105"/>
        <v>0</v>
      </c>
      <c r="H1194" s="721">
        <f>+J1134*G1194+E1194</f>
        <v>0</v>
      </c>
      <c r="I1194" s="727">
        <f>+J1135*G1194+E1194</f>
        <v>0</v>
      </c>
      <c r="J1194" s="724">
        <f t="shared" si="106"/>
        <v>0</v>
      </c>
      <c r="K1194" s="724"/>
      <c r="L1194" s="728"/>
      <c r="M1194" s="724">
        <f t="shared" si="107"/>
        <v>0</v>
      </c>
      <c r="N1194" s="728"/>
      <c r="O1194" s="724">
        <f t="shared" si="108"/>
        <v>0</v>
      </c>
      <c r="P1194" s="724">
        <f t="shared" si="109"/>
        <v>0</v>
      </c>
      <c r="Q1194" s="674"/>
    </row>
    <row r="1195" spans="2:17">
      <c r="B1195" s="330"/>
      <c r="C1195" s="720">
        <f>IF(D1133="","-",+C1194+1)</f>
        <v>2071</v>
      </c>
      <c r="D1195" s="673">
        <f t="shared" si="110"/>
        <v>0</v>
      </c>
      <c r="E1195" s="726">
        <f t="shared" si="111"/>
        <v>0</v>
      </c>
      <c r="F1195" s="726">
        <f t="shared" si="104"/>
        <v>0</v>
      </c>
      <c r="G1195" s="673">
        <f t="shared" si="105"/>
        <v>0</v>
      </c>
      <c r="H1195" s="721">
        <f>+J1134*G1195+E1195</f>
        <v>0</v>
      </c>
      <c r="I1195" s="727">
        <f>+J1135*G1195+E1195</f>
        <v>0</v>
      </c>
      <c r="J1195" s="724">
        <f t="shared" si="106"/>
        <v>0</v>
      </c>
      <c r="K1195" s="724"/>
      <c r="L1195" s="728"/>
      <c r="M1195" s="724">
        <f t="shared" si="107"/>
        <v>0</v>
      </c>
      <c r="N1195" s="728"/>
      <c r="O1195" s="724">
        <f t="shared" si="108"/>
        <v>0</v>
      </c>
      <c r="P1195" s="724">
        <f t="shared" si="109"/>
        <v>0</v>
      </c>
      <c r="Q1195" s="674"/>
    </row>
    <row r="1196" spans="2:17">
      <c r="B1196" s="330"/>
      <c r="C1196" s="720">
        <f>IF(D1133="","-",+C1195+1)</f>
        <v>2072</v>
      </c>
      <c r="D1196" s="673">
        <f t="shared" si="110"/>
        <v>0</v>
      </c>
      <c r="E1196" s="726">
        <f t="shared" si="111"/>
        <v>0</v>
      </c>
      <c r="F1196" s="726">
        <f t="shared" si="104"/>
        <v>0</v>
      </c>
      <c r="G1196" s="673">
        <f t="shared" si="105"/>
        <v>0</v>
      </c>
      <c r="H1196" s="721">
        <f>+J1134*G1196+E1196</f>
        <v>0</v>
      </c>
      <c r="I1196" s="727">
        <f>+J1135*G1196+E1196</f>
        <v>0</v>
      </c>
      <c r="J1196" s="724">
        <f t="shared" si="106"/>
        <v>0</v>
      </c>
      <c r="K1196" s="724"/>
      <c r="L1196" s="728"/>
      <c r="M1196" s="724">
        <f t="shared" si="107"/>
        <v>0</v>
      </c>
      <c r="N1196" s="728"/>
      <c r="O1196" s="724">
        <f t="shared" si="108"/>
        <v>0</v>
      </c>
      <c r="P1196" s="724">
        <f t="shared" si="109"/>
        <v>0</v>
      </c>
      <c r="Q1196" s="674"/>
    </row>
    <row r="1197" spans="2:17">
      <c r="B1197" s="330"/>
      <c r="C1197" s="720">
        <f>IF(D1133="","-",+C1196+1)</f>
        <v>2073</v>
      </c>
      <c r="D1197" s="673">
        <f t="shared" si="110"/>
        <v>0</v>
      </c>
      <c r="E1197" s="726">
        <f t="shared" si="111"/>
        <v>0</v>
      </c>
      <c r="F1197" s="726">
        <f t="shared" si="104"/>
        <v>0</v>
      </c>
      <c r="G1197" s="673">
        <f t="shared" si="105"/>
        <v>0</v>
      </c>
      <c r="H1197" s="721">
        <f>+J1134*G1197+E1197</f>
        <v>0</v>
      </c>
      <c r="I1197" s="727">
        <f>+J1135*G1197+E1197</f>
        <v>0</v>
      </c>
      <c r="J1197" s="724">
        <f t="shared" si="106"/>
        <v>0</v>
      </c>
      <c r="K1197" s="724"/>
      <c r="L1197" s="728"/>
      <c r="M1197" s="724">
        <f t="shared" si="107"/>
        <v>0</v>
      </c>
      <c r="N1197" s="728"/>
      <c r="O1197" s="724">
        <f t="shared" si="108"/>
        <v>0</v>
      </c>
      <c r="P1197" s="724">
        <f t="shared" si="109"/>
        <v>0</v>
      </c>
      <c r="Q1197" s="674"/>
    </row>
    <row r="1198" spans="2:17" ht="13.5" thickBot="1">
      <c r="B1198" s="330"/>
      <c r="C1198" s="730">
        <f>IF(D1133="","-",+C1197+1)</f>
        <v>2074</v>
      </c>
      <c r="D1198" s="731">
        <f t="shared" si="110"/>
        <v>0</v>
      </c>
      <c r="E1198" s="1309">
        <f t="shared" si="111"/>
        <v>0</v>
      </c>
      <c r="F1198" s="732">
        <f t="shared" si="104"/>
        <v>0</v>
      </c>
      <c r="G1198" s="731">
        <f t="shared" si="105"/>
        <v>0</v>
      </c>
      <c r="H1198" s="733">
        <f>+J1134*G1198+E1198</f>
        <v>0</v>
      </c>
      <c r="I1198" s="733">
        <f>+J1135*G1198+E1198</f>
        <v>0</v>
      </c>
      <c r="J1198" s="734">
        <f t="shared" si="106"/>
        <v>0</v>
      </c>
      <c r="K1198" s="724"/>
      <c r="L1198" s="735"/>
      <c r="M1198" s="734">
        <f t="shared" si="107"/>
        <v>0</v>
      </c>
      <c r="N1198" s="735"/>
      <c r="O1198" s="734">
        <f t="shared" si="108"/>
        <v>0</v>
      </c>
      <c r="P1198" s="734">
        <f t="shared" si="109"/>
        <v>0</v>
      </c>
      <c r="Q1198" s="674"/>
    </row>
    <row r="1199" spans="2:17">
      <c r="B1199" s="330"/>
      <c r="C1199" s="673" t="s">
        <v>288</v>
      </c>
      <c r="D1199" s="669"/>
      <c r="E1199" s="669">
        <f>SUM(E1139:E1198)</f>
        <v>1214619.18</v>
      </c>
      <c r="F1199" s="669"/>
      <c r="G1199" s="669"/>
      <c r="H1199" s="669">
        <f>SUM(H1139:H1198)</f>
        <v>5407219.9409663603</v>
      </c>
      <c r="I1199" s="669">
        <f>SUM(I1139:I1198)</f>
        <v>5407219.9409663603</v>
      </c>
      <c r="J1199" s="669">
        <f>SUM(J1139:J1198)</f>
        <v>0</v>
      </c>
      <c r="K1199" s="669"/>
      <c r="L1199" s="669"/>
      <c r="M1199" s="669"/>
      <c r="N1199" s="669"/>
      <c r="O1199" s="669"/>
      <c r="Q1199" s="669"/>
    </row>
    <row r="1200" spans="2:17">
      <c r="B1200" s="330"/>
      <c r="D1200" s="563"/>
      <c r="E1200" s="542"/>
      <c r="F1200" s="542"/>
      <c r="G1200" s="542"/>
      <c r="H1200" s="542"/>
      <c r="I1200" s="646"/>
      <c r="J1200" s="646"/>
      <c r="K1200" s="669"/>
      <c r="L1200" s="646"/>
      <c r="M1200" s="646"/>
      <c r="N1200" s="646"/>
      <c r="O1200" s="646"/>
      <c r="Q1200" s="669"/>
    </row>
    <row r="1201" spans="1:17">
      <c r="B1201" s="330"/>
      <c r="C1201" s="542" t="s">
        <v>595</v>
      </c>
      <c r="D1201" s="563"/>
      <c r="E1201" s="542"/>
      <c r="F1201" s="542"/>
      <c r="G1201" s="542"/>
      <c r="H1201" s="542"/>
      <c r="I1201" s="646"/>
      <c r="J1201" s="646"/>
      <c r="K1201" s="669"/>
      <c r="L1201" s="646"/>
      <c r="M1201" s="646"/>
      <c r="N1201" s="646"/>
      <c r="O1201" s="646"/>
      <c r="Q1201" s="669"/>
    </row>
    <row r="1202" spans="1:17">
      <c r="B1202" s="330"/>
      <c r="D1202" s="563"/>
      <c r="E1202" s="542"/>
      <c r="F1202" s="542"/>
      <c r="G1202" s="542"/>
      <c r="H1202" s="542"/>
      <c r="I1202" s="646"/>
      <c r="J1202" s="646"/>
      <c r="K1202" s="669"/>
      <c r="L1202" s="646"/>
      <c r="M1202" s="646"/>
      <c r="N1202" s="646"/>
      <c r="O1202" s="646"/>
      <c r="Q1202" s="669"/>
    </row>
    <row r="1203" spans="1:17">
      <c r="B1203" s="330"/>
      <c r="C1203" s="576" t="s">
        <v>596</v>
      </c>
      <c r="D1203" s="673"/>
      <c r="E1203" s="673"/>
      <c r="F1203" s="673"/>
      <c r="G1203" s="673"/>
      <c r="H1203" s="669"/>
      <c r="I1203" s="669"/>
      <c r="J1203" s="674"/>
      <c r="K1203" s="674"/>
      <c r="L1203" s="674"/>
      <c r="M1203" s="674"/>
      <c r="N1203" s="674"/>
      <c r="O1203" s="674"/>
      <c r="Q1203" s="674"/>
    </row>
    <row r="1204" spans="1:17">
      <c r="B1204" s="330"/>
      <c r="C1204" s="576" t="s">
        <v>476</v>
      </c>
      <c r="D1204" s="673"/>
      <c r="E1204" s="673"/>
      <c r="F1204" s="673"/>
      <c r="G1204" s="673"/>
      <c r="H1204" s="669"/>
      <c r="I1204" s="669"/>
      <c r="J1204" s="674"/>
      <c r="K1204" s="674"/>
      <c r="L1204" s="674"/>
      <c r="M1204" s="674"/>
      <c r="N1204" s="674"/>
      <c r="O1204" s="674"/>
      <c r="Q1204" s="674"/>
    </row>
    <row r="1205" spans="1:17">
      <c r="B1205" s="330"/>
      <c r="C1205" s="576" t="s">
        <v>289</v>
      </c>
      <c r="D1205" s="673"/>
      <c r="E1205" s="673"/>
      <c r="F1205" s="673"/>
      <c r="G1205" s="673"/>
      <c r="H1205" s="669"/>
      <c r="I1205" s="669"/>
      <c r="J1205" s="674"/>
      <c r="K1205" s="674"/>
      <c r="L1205" s="674"/>
      <c r="M1205" s="674"/>
      <c r="N1205" s="674"/>
      <c r="O1205" s="674"/>
      <c r="Q1205" s="674"/>
    </row>
    <row r="1206" spans="1:17" ht="20.25">
      <c r="A1206" s="675" t="s">
        <v>764</v>
      </c>
      <c r="B1206" s="542"/>
      <c r="C1206" s="655"/>
      <c r="D1206" s="563"/>
      <c r="E1206" s="542"/>
      <c r="F1206" s="645"/>
      <c r="G1206" s="645"/>
      <c r="H1206" s="542"/>
      <c r="I1206" s="646"/>
      <c r="L1206" s="676"/>
      <c r="M1206" s="676"/>
      <c r="N1206" s="676"/>
      <c r="O1206" s="591" t="str">
        <f>"Page "&amp;SUM(Q$3:Q1206)&amp;" of "</f>
        <v xml:space="preserve">Page 15 of </v>
      </c>
      <c r="P1206" s="592">
        <f>COUNT(Q$8:Q$58212)</f>
        <v>23</v>
      </c>
      <c r="Q1206" s="756">
        <v>1</v>
      </c>
    </row>
    <row r="1207" spans="1:17">
      <c r="B1207" s="542"/>
      <c r="C1207" s="542"/>
      <c r="D1207" s="563"/>
      <c r="E1207" s="542"/>
      <c r="F1207" s="542"/>
      <c r="G1207" s="542"/>
      <c r="H1207" s="542"/>
      <c r="I1207" s="646"/>
      <c r="J1207" s="542"/>
      <c r="K1207" s="588"/>
      <c r="Q1207" s="588"/>
    </row>
    <row r="1208" spans="1:17" ht="18">
      <c r="B1208" s="595" t="s">
        <v>174</v>
      </c>
      <c r="C1208" s="677" t="s">
        <v>290</v>
      </c>
      <c r="D1208" s="563"/>
      <c r="E1208" s="542"/>
      <c r="F1208" s="542"/>
      <c r="G1208" s="542"/>
      <c r="H1208" s="542"/>
      <c r="I1208" s="646"/>
      <c r="J1208" s="646"/>
      <c r="K1208" s="669"/>
      <c r="L1208" s="646"/>
      <c r="M1208" s="646"/>
      <c r="N1208" s="646"/>
      <c r="O1208" s="646"/>
      <c r="Q1208" s="669"/>
    </row>
    <row r="1209" spans="1:17" ht="18.75">
      <c r="B1209" s="595"/>
      <c r="C1209" s="594"/>
      <c r="D1209" s="563"/>
      <c r="E1209" s="542"/>
      <c r="F1209" s="542"/>
      <c r="G1209" s="542"/>
      <c r="H1209" s="542"/>
      <c r="I1209" s="646"/>
      <c r="J1209" s="646"/>
      <c r="K1209" s="669"/>
      <c r="L1209" s="646"/>
      <c r="M1209" s="646"/>
      <c r="N1209" s="646"/>
      <c r="O1209" s="646"/>
      <c r="Q1209" s="669"/>
    </row>
    <row r="1210" spans="1:17" ht="18.75">
      <c r="B1210" s="595"/>
      <c r="C1210" s="594" t="s">
        <v>291</v>
      </c>
      <c r="D1210" s="563"/>
      <c r="E1210" s="542"/>
      <c r="F1210" s="542"/>
      <c r="G1210" s="542"/>
      <c r="H1210" s="542"/>
      <c r="I1210" s="646"/>
      <c r="J1210" s="646"/>
      <c r="K1210" s="669"/>
      <c r="L1210" s="646"/>
      <c r="M1210" s="646"/>
      <c r="N1210" s="646"/>
      <c r="O1210" s="646"/>
      <c r="Q1210" s="669"/>
    </row>
    <row r="1211" spans="1:17" ht="15.75" thickBot="1">
      <c r="B1211" s="330"/>
      <c r="C1211" s="396"/>
      <c r="D1211" s="563"/>
      <c r="E1211" s="542"/>
      <c r="F1211" s="542"/>
      <c r="G1211" s="542"/>
      <c r="H1211" s="542"/>
      <c r="I1211" s="646"/>
      <c r="J1211" s="646"/>
      <c r="K1211" s="669"/>
      <c r="L1211" s="646"/>
      <c r="M1211" s="646"/>
      <c r="N1211" s="646"/>
      <c r="O1211" s="646"/>
      <c r="Q1211" s="669"/>
    </row>
    <row r="1212" spans="1:17" ht="15.75">
      <c r="B1212" s="330"/>
      <c r="C1212" s="596" t="s">
        <v>292</v>
      </c>
      <c r="D1212" s="563"/>
      <c r="E1212" s="542"/>
      <c r="F1212" s="542"/>
      <c r="G1212" s="542"/>
      <c r="H1212" s="864"/>
      <c r="I1212" s="542" t="s">
        <v>271</v>
      </c>
      <c r="J1212" s="542"/>
      <c r="K1212" s="588"/>
      <c r="L1212" s="757">
        <f>+J1218</f>
        <v>2021</v>
      </c>
      <c r="M1212" s="739" t="s">
        <v>254</v>
      </c>
      <c r="N1212" s="739" t="s">
        <v>255</v>
      </c>
      <c r="O1212" s="740" t="s">
        <v>256</v>
      </c>
      <c r="Q1212" s="588"/>
    </row>
    <row r="1213" spans="1:17" ht="15.75">
      <c r="B1213" s="330"/>
      <c r="C1213" s="596"/>
      <c r="D1213" s="563"/>
      <c r="E1213" s="542"/>
      <c r="F1213" s="542"/>
      <c r="H1213" s="542"/>
      <c r="I1213" s="681"/>
      <c r="J1213" s="681"/>
      <c r="K1213" s="682"/>
      <c r="L1213" s="758" t="s">
        <v>455</v>
      </c>
      <c r="M1213" s="759">
        <f>VLOOKUP(J1218,C1225:P1284,10)</f>
        <v>453236.20731722959</v>
      </c>
      <c r="N1213" s="759">
        <f>VLOOKUP(J1218,C1225:P1284,12)</f>
        <v>453236.20731722959</v>
      </c>
      <c r="O1213" s="760">
        <f>+N1213-M1213</f>
        <v>0</v>
      </c>
      <c r="Q1213" s="682"/>
    </row>
    <row r="1214" spans="1:17">
      <c r="B1214" s="330"/>
      <c r="C1214" s="684" t="s">
        <v>293</v>
      </c>
      <c r="D1214" s="1703" t="s">
        <v>947</v>
      </c>
      <c r="E1214" s="1703"/>
      <c r="F1214" s="1703"/>
      <c r="G1214" s="1703"/>
      <c r="H1214" s="1703"/>
      <c r="I1214" s="1703"/>
      <c r="J1214" s="646"/>
      <c r="K1214" s="669"/>
      <c r="L1214" s="758" t="s">
        <v>456</v>
      </c>
      <c r="M1214" s="761">
        <f>VLOOKUP(J1218,C1225:P1284,6)</f>
        <v>480170.27589327237</v>
      </c>
      <c r="N1214" s="761">
        <f>VLOOKUP(J1218,C1225:P1284,7)</f>
        <v>480170.27589327237</v>
      </c>
      <c r="O1214" s="762">
        <f>+N1214-M1214</f>
        <v>0</v>
      </c>
      <c r="Q1214" s="669"/>
    </row>
    <row r="1215" spans="1:17" ht="13.5" thickBot="1">
      <c r="B1215" s="330"/>
      <c r="C1215" s="686"/>
      <c r="D1215" s="1703" t="s">
        <v>114</v>
      </c>
      <c r="E1215" s="1703"/>
      <c r="F1215" s="1703"/>
      <c r="G1215" s="1703"/>
      <c r="H1215" s="1703"/>
      <c r="I1215" s="1703"/>
      <c r="J1215" s="646"/>
      <c r="K1215" s="669"/>
      <c r="L1215" s="705" t="s">
        <v>457</v>
      </c>
      <c r="M1215" s="763">
        <f>+M1214-M1213</f>
        <v>26934.068576042773</v>
      </c>
      <c r="N1215" s="763">
        <f>+N1214-N1213</f>
        <v>26934.068576042773</v>
      </c>
      <c r="O1215" s="764">
        <f>+O1214-O1213</f>
        <v>0</v>
      </c>
      <c r="Q1215" s="669"/>
    </row>
    <row r="1216" spans="1:17" ht="13.5" thickBot="1">
      <c r="B1216" s="330"/>
      <c r="C1216" s="689"/>
      <c r="D1216" s="690"/>
      <c r="E1216" s="688"/>
      <c r="F1216" s="688"/>
      <c r="G1216" s="688"/>
      <c r="H1216" s="688"/>
      <c r="I1216" s="688"/>
      <c r="J1216" s="688"/>
      <c r="K1216" s="691"/>
      <c r="L1216" s="688"/>
      <c r="M1216" s="688"/>
      <c r="N1216" s="688"/>
      <c r="O1216" s="688"/>
      <c r="P1216" s="576"/>
      <c r="Q1216" s="691"/>
    </row>
    <row r="1217" spans="1:17" ht="13.5" thickBot="1">
      <c r="B1217" s="330"/>
      <c r="C1217" s="692" t="s">
        <v>294</v>
      </c>
      <c r="D1217" s="693"/>
      <c r="E1217" s="693"/>
      <c r="F1217" s="693"/>
      <c r="G1217" s="693"/>
      <c r="H1217" s="693"/>
      <c r="I1217" s="693"/>
      <c r="J1217" s="693"/>
      <c r="K1217" s="695"/>
      <c r="P1217" s="696"/>
      <c r="Q1217" s="695"/>
    </row>
    <row r="1218" spans="1:17" ht="15">
      <c r="A1218" s="1310"/>
      <c r="B1218" s="330"/>
      <c r="C1218" s="697" t="s">
        <v>272</v>
      </c>
      <c r="D1218" s="1253">
        <v>3059125.59</v>
      </c>
      <c r="E1218" s="655" t="s">
        <v>273</v>
      </c>
      <c r="H1218" s="698"/>
      <c r="I1218" s="698"/>
      <c r="J1218" s="1451">
        <f>$J$95</f>
        <v>2021</v>
      </c>
      <c r="K1218" s="586"/>
      <c r="L1218" s="1717" t="s">
        <v>274</v>
      </c>
      <c r="M1218" s="1717"/>
      <c r="N1218" s="1717"/>
      <c r="O1218" s="1717"/>
      <c r="P1218" s="588"/>
      <c r="Q1218" s="586"/>
    </row>
    <row r="1219" spans="1:17">
      <c r="A1219" s="1310"/>
      <c r="B1219" s="330"/>
      <c r="C1219" s="697" t="s">
        <v>275</v>
      </c>
      <c r="D1219" s="865">
        <v>2015</v>
      </c>
      <c r="E1219" s="697" t="s">
        <v>276</v>
      </c>
      <c r="F1219" s="698"/>
      <c r="G1219" s="698"/>
      <c r="I1219" s="330"/>
      <c r="J1219" s="867">
        <v>0</v>
      </c>
      <c r="K1219" s="700"/>
      <c r="L1219" s="669" t="s">
        <v>475</v>
      </c>
      <c r="P1219" s="588"/>
      <c r="Q1219" s="700"/>
    </row>
    <row r="1220" spans="1:17">
      <c r="A1220" s="1310"/>
      <c r="B1220" s="330"/>
      <c r="C1220" s="697" t="s">
        <v>277</v>
      </c>
      <c r="D1220" s="1253">
        <v>12</v>
      </c>
      <c r="E1220" s="697" t="s">
        <v>278</v>
      </c>
      <c r="F1220" s="698"/>
      <c r="G1220" s="698"/>
      <c r="I1220" s="330"/>
      <c r="J1220" s="701">
        <f>$F$70</f>
        <v>0.15341253840442806</v>
      </c>
      <c r="K1220" s="702"/>
      <c r="L1220" s="542" t="str">
        <f>"          INPUT TRUE-UP ARR (WITH &amp; WITHOUT INCENTIVES) FROM EACH PRIOR YEAR"</f>
        <v xml:space="preserve">          INPUT TRUE-UP ARR (WITH &amp; WITHOUT INCENTIVES) FROM EACH PRIOR YEAR</v>
      </c>
      <c r="P1220" s="588"/>
      <c r="Q1220" s="702"/>
    </row>
    <row r="1221" spans="1:17">
      <c r="A1221" s="1310"/>
      <c r="B1221" s="330"/>
      <c r="C1221" s="697" t="s">
        <v>279</v>
      </c>
      <c r="D1221" s="703">
        <f>H79</f>
        <v>44</v>
      </c>
      <c r="E1221" s="697" t="s">
        <v>280</v>
      </c>
      <c r="F1221" s="698"/>
      <c r="G1221" s="698"/>
      <c r="I1221" s="330"/>
      <c r="J1221" s="701">
        <f>IF(H1212="",J1220,$F$69)</f>
        <v>0.15341253840442806</v>
      </c>
      <c r="K1221" s="704"/>
      <c r="L1221" s="542" t="s">
        <v>362</v>
      </c>
      <c r="M1221" s="704"/>
      <c r="N1221" s="704"/>
      <c r="O1221" s="704"/>
      <c r="P1221" s="588"/>
      <c r="Q1221" s="704"/>
    </row>
    <row r="1222" spans="1:17" ht="13.5" thickBot="1">
      <c r="A1222" s="1310"/>
      <c r="B1222" s="330"/>
      <c r="C1222" s="697" t="s">
        <v>281</v>
      </c>
      <c r="D1222" s="866" t="s">
        <v>933</v>
      </c>
      <c r="E1222" s="705" t="s">
        <v>282</v>
      </c>
      <c r="F1222" s="706"/>
      <c r="G1222" s="706"/>
      <c r="H1222" s="707"/>
      <c r="I1222" s="707"/>
      <c r="J1222" s="685">
        <f>IF(D1218=0,0,D1218/D1221)</f>
        <v>69525.581590909089</v>
      </c>
      <c r="K1222" s="669"/>
      <c r="L1222" s="669" t="s">
        <v>363</v>
      </c>
      <c r="M1222" s="669"/>
      <c r="N1222" s="669"/>
      <c r="O1222" s="669"/>
      <c r="P1222" s="588"/>
      <c r="Q1222" s="669"/>
    </row>
    <row r="1223" spans="1:17" ht="38.25">
      <c r="A1223" s="529"/>
      <c r="B1223" s="529"/>
      <c r="C1223" s="708" t="s">
        <v>272</v>
      </c>
      <c r="D1223" s="709" t="s">
        <v>283</v>
      </c>
      <c r="E1223" s="710" t="s">
        <v>284</v>
      </c>
      <c r="F1223" s="709" t="s">
        <v>285</v>
      </c>
      <c r="G1223" s="709" t="s">
        <v>458</v>
      </c>
      <c r="H1223" s="710" t="s">
        <v>356</v>
      </c>
      <c r="I1223" s="711" t="s">
        <v>356</v>
      </c>
      <c r="J1223" s="708" t="s">
        <v>295</v>
      </c>
      <c r="K1223" s="712"/>
      <c r="L1223" s="710" t="s">
        <v>358</v>
      </c>
      <c r="M1223" s="710" t="s">
        <v>364</v>
      </c>
      <c r="N1223" s="710" t="s">
        <v>358</v>
      </c>
      <c r="O1223" s="710" t="s">
        <v>366</v>
      </c>
      <c r="P1223" s="710" t="s">
        <v>286</v>
      </c>
      <c r="Q1223" s="713"/>
    </row>
    <row r="1224" spans="1:17" ht="13.5" thickBot="1">
      <c r="B1224" s="330"/>
      <c r="C1224" s="714" t="s">
        <v>177</v>
      </c>
      <c r="D1224" s="715" t="s">
        <v>178</v>
      </c>
      <c r="E1224" s="714" t="s">
        <v>37</v>
      </c>
      <c r="F1224" s="715" t="s">
        <v>178</v>
      </c>
      <c r="G1224" s="715" t="s">
        <v>178</v>
      </c>
      <c r="H1224" s="716" t="s">
        <v>298</v>
      </c>
      <c r="I1224" s="717" t="s">
        <v>300</v>
      </c>
      <c r="J1224" s="718" t="s">
        <v>389</v>
      </c>
      <c r="K1224" s="719"/>
      <c r="L1224" s="716" t="s">
        <v>287</v>
      </c>
      <c r="M1224" s="716" t="s">
        <v>287</v>
      </c>
      <c r="N1224" s="716" t="s">
        <v>467</v>
      </c>
      <c r="O1224" s="716" t="s">
        <v>467</v>
      </c>
      <c r="P1224" s="716" t="s">
        <v>467</v>
      </c>
      <c r="Q1224" s="586"/>
    </row>
    <row r="1225" spans="1:17">
      <c r="B1225" s="330"/>
      <c r="C1225" s="720">
        <f>IF(D1219= "","-",D1219)</f>
        <v>2015</v>
      </c>
      <c r="D1225" s="673">
        <f>+D1218</f>
        <v>3059125.59</v>
      </c>
      <c r="E1225" s="721">
        <f>+J1222/12*(12-D1220)</f>
        <v>0</v>
      </c>
      <c r="F1225" s="765">
        <f t="shared" ref="F1225:F1284" si="112">+D1225-E1225</f>
        <v>3059125.59</v>
      </c>
      <c r="G1225" s="673">
        <f t="shared" ref="G1225:G1284" si="113">+(D1225+F1225)/2</f>
        <v>3059125.59</v>
      </c>
      <c r="H1225" s="722">
        <f>+J1220*G1225+E1225</f>
        <v>469308.22205984365</v>
      </c>
      <c r="I1225" s="723">
        <f>+J1221*G1225+E1225</f>
        <v>469308.22205984365</v>
      </c>
      <c r="J1225" s="724">
        <f t="shared" ref="J1225:J1284" si="114">+I1225-H1225</f>
        <v>0</v>
      </c>
      <c r="K1225" s="724"/>
      <c r="L1225" s="728">
        <v>559098</v>
      </c>
      <c r="M1225" s="766">
        <f t="shared" ref="M1225:M1284" si="115">IF(L1225&lt;&gt;0,+H1225-L1225,0)</f>
        <v>-89789.777940156346</v>
      </c>
      <c r="N1225" s="728">
        <v>559098</v>
      </c>
      <c r="O1225" s="766">
        <f t="shared" ref="O1225:O1284" si="116">IF(N1225&lt;&gt;0,+I1225-N1225,0)</f>
        <v>-89789.777940156346</v>
      </c>
      <c r="P1225" s="766">
        <f t="shared" ref="P1225:P1284" si="117">+O1225-M1225</f>
        <v>0</v>
      </c>
      <c r="Q1225" s="674"/>
    </row>
    <row r="1226" spans="1:17">
      <c r="B1226" s="330"/>
      <c r="C1226" s="720">
        <f>IF(D1219="","-",+C1225+1)</f>
        <v>2016</v>
      </c>
      <c r="D1226" s="673">
        <f t="shared" ref="D1226:D1284" si="118">F1225</f>
        <v>3059125.59</v>
      </c>
      <c r="E1226" s="726">
        <f>IF(D1226&gt;$J$1222,$J$1222,D1226)</f>
        <v>69525.581590909089</v>
      </c>
      <c r="F1226" s="726">
        <f t="shared" si="112"/>
        <v>2989600.0084090908</v>
      </c>
      <c r="G1226" s="673">
        <f t="shared" si="113"/>
        <v>3024362.7992045451</v>
      </c>
      <c r="H1226" s="721">
        <f>+J1220*G1226+E1226</f>
        <v>533500.75567279989</v>
      </c>
      <c r="I1226" s="727">
        <f>+J1221*G1226+E1226</f>
        <v>533500.75567279989</v>
      </c>
      <c r="J1226" s="724">
        <f t="shared" si="114"/>
        <v>0</v>
      </c>
      <c r="K1226" s="724"/>
      <c r="L1226" s="728">
        <v>620362</v>
      </c>
      <c r="M1226" s="724">
        <f t="shared" si="115"/>
        <v>-86861.244327200111</v>
      </c>
      <c r="N1226" s="728">
        <v>620362</v>
      </c>
      <c r="O1226" s="724">
        <f t="shared" si="116"/>
        <v>-86861.244327200111</v>
      </c>
      <c r="P1226" s="724">
        <f t="shared" si="117"/>
        <v>0</v>
      </c>
      <c r="Q1226" s="674"/>
    </row>
    <row r="1227" spans="1:17">
      <c r="B1227" s="330"/>
      <c r="C1227" s="720">
        <f>IF(D1219="","-",+C1226+1)</f>
        <v>2017</v>
      </c>
      <c r="D1227" s="673">
        <f t="shared" si="118"/>
        <v>2989600.0084090908</v>
      </c>
      <c r="E1227" s="726">
        <f t="shared" ref="E1227:E1284" si="119">IF(D1227&gt;$J$1222,$J$1222,D1227)</f>
        <v>69525.581590909089</v>
      </c>
      <c r="F1227" s="726">
        <f t="shared" si="112"/>
        <v>2920074.4268181818</v>
      </c>
      <c r="G1227" s="673">
        <f t="shared" si="113"/>
        <v>2954837.2176136365</v>
      </c>
      <c r="H1227" s="721">
        <f>+J1220*G1227+E1227</f>
        <v>522834.6597168945</v>
      </c>
      <c r="I1227" s="727">
        <f>+J1221*G1227+E1227</f>
        <v>522834.6597168945</v>
      </c>
      <c r="J1227" s="724">
        <f t="shared" si="114"/>
        <v>0</v>
      </c>
      <c r="K1227" s="724"/>
      <c r="L1227" s="728">
        <v>646844</v>
      </c>
      <c r="M1227" s="724">
        <f t="shared" si="115"/>
        <v>-124009.3402831055</v>
      </c>
      <c r="N1227" s="728">
        <v>646844</v>
      </c>
      <c r="O1227" s="724">
        <f t="shared" si="116"/>
        <v>-124009.3402831055</v>
      </c>
      <c r="P1227" s="724">
        <f t="shared" si="117"/>
        <v>0</v>
      </c>
      <c r="Q1227" s="674"/>
    </row>
    <row r="1228" spans="1:17">
      <c r="B1228" s="330"/>
      <c r="C1228" s="720">
        <f>IF(D1219="","-",+C1227+1)</f>
        <v>2018</v>
      </c>
      <c r="D1228" s="1455">
        <f t="shared" si="118"/>
        <v>2920074.4268181818</v>
      </c>
      <c r="E1228" s="726">
        <f t="shared" si="119"/>
        <v>69525.581590909089</v>
      </c>
      <c r="F1228" s="726">
        <f t="shared" si="112"/>
        <v>2850548.8452272727</v>
      </c>
      <c r="G1228" s="673">
        <f t="shared" si="113"/>
        <v>2885311.636022727</v>
      </c>
      <c r="H1228" s="721">
        <f>+J1220*G1228+E1228</f>
        <v>512168.56376098888</v>
      </c>
      <c r="I1228" s="727">
        <f>+J1221*G1228+E1228</f>
        <v>512168.56376098888</v>
      </c>
      <c r="J1228" s="724">
        <f t="shared" si="114"/>
        <v>0</v>
      </c>
      <c r="K1228" s="724"/>
      <c r="L1228" s="728">
        <v>506029</v>
      </c>
      <c r="M1228" s="724">
        <f t="shared" si="115"/>
        <v>6139.5637609888799</v>
      </c>
      <c r="N1228" s="728">
        <v>506029</v>
      </c>
      <c r="O1228" s="724">
        <f t="shared" si="116"/>
        <v>6139.5637609888799</v>
      </c>
      <c r="P1228" s="724">
        <f t="shared" si="117"/>
        <v>0</v>
      </c>
      <c r="Q1228" s="674"/>
    </row>
    <row r="1229" spans="1:17">
      <c r="B1229" s="330"/>
      <c r="C1229" s="720">
        <f>IF(D1219="","-",+C1228+1)</f>
        <v>2019</v>
      </c>
      <c r="D1229" s="1269">
        <f t="shared" si="118"/>
        <v>2850548.8452272727</v>
      </c>
      <c r="E1229" s="726">
        <f t="shared" si="119"/>
        <v>69525.581590909089</v>
      </c>
      <c r="F1229" s="726">
        <f t="shared" si="112"/>
        <v>2781023.2636363637</v>
      </c>
      <c r="G1229" s="673">
        <f t="shared" si="113"/>
        <v>2815786.0544318184</v>
      </c>
      <c r="H1229" s="721">
        <f>+J1220*G1229+E1229</f>
        <v>501502.46780508343</v>
      </c>
      <c r="I1229" s="727">
        <f>+J1221*G1229+E1229</f>
        <v>501502.46780508343</v>
      </c>
      <c r="J1229" s="724">
        <f t="shared" si="114"/>
        <v>0</v>
      </c>
      <c r="K1229" s="724"/>
      <c r="L1229" s="1452">
        <v>492430</v>
      </c>
      <c r="M1229" s="724">
        <f t="shared" si="115"/>
        <v>9072.4678050834336</v>
      </c>
      <c r="N1229" s="1452">
        <v>492430</v>
      </c>
      <c r="O1229" s="724">
        <f t="shared" si="116"/>
        <v>9072.4678050834336</v>
      </c>
      <c r="P1229" s="724">
        <f t="shared" si="117"/>
        <v>0</v>
      </c>
      <c r="Q1229" s="674"/>
    </row>
    <row r="1230" spans="1:17">
      <c r="B1230" s="330"/>
      <c r="C1230" s="720">
        <f>IF(D1219="","-",+C1229+1)</f>
        <v>2020</v>
      </c>
      <c r="D1230" s="1269">
        <f t="shared" si="118"/>
        <v>2781023.2636363637</v>
      </c>
      <c r="E1230" s="726">
        <f t="shared" si="119"/>
        <v>69525.581590909089</v>
      </c>
      <c r="F1230" s="726">
        <f t="shared" si="112"/>
        <v>2711497.6820454546</v>
      </c>
      <c r="G1230" s="673">
        <f t="shared" si="113"/>
        <v>2746260.4728409089</v>
      </c>
      <c r="H1230" s="721">
        <f>+J1220*G1230+E1230</f>
        <v>490836.37184917781</v>
      </c>
      <c r="I1230" s="727">
        <f>+J1221*G1230+E1230</f>
        <v>490836.37184917781</v>
      </c>
      <c r="J1230" s="724">
        <f t="shared" si="114"/>
        <v>0</v>
      </c>
      <c r="K1230" s="724"/>
      <c r="L1230" s="728">
        <v>474754.37121105765</v>
      </c>
      <c r="M1230" s="724">
        <f t="shared" si="115"/>
        <v>16082.000638120167</v>
      </c>
      <c r="N1230" s="1548">
        <v>474754.37121105765</v>
      </c>
      <c r="O1230" s="724">
        <f t="shared" si="116"/>
        <v>16082.000638120167</v>
      </c>
      <c r="P1230" s="724">
        <f t="shared" si="117"/>
        <v>0</v>
      </c>
      <c r="Q1230" s="674"/>
    </row>
    <row r="1231" spans="1:17">
      <c r="B1231" s="330"/>
      <c r="C1231" s="720">
        <f>IF(D1219="","-",+C1230+1)</f>
        <v>2021</v>
      </c>
      <c r="D1231" s="1269">
        <f t="shared" si="118"/>
        <v>2711497.6820454546</v>
      </c>
      <c r="E1231" s="726">
        <f t="shared" si="119"/>
        <v>69525.581590909089</v>
      </c>
      <c r="F1231" s="726">
        <f t="shared" si="112"/>
        <v>2641972.1004545456</v>
      </c>
      <c r="G1231" s="673">
        <f t="shared" si="113"/>
        <v>2676734.8912500003</v>
      </c>
      <c r="H1231" s="721">
        <f>+J1220*G1231+E1231</f>
        <v>480170.27589327237</v>
      </c>
      <c r="I1231" s="727">
        <f>+J1221*G1231+E1231</f>
        <v>480170.27589327237</v>
      </c>
      <c r="J1231" s="724">
        <f t="shared" si="114"/>
        <v>0</v>
      </c>
      <c r="K1231" s="724"/>
      <c r="L1231" s="728">
        <v>453236.20731722959</v>
      </c>
      <c r="M1231" s="724">
        <f t="shared" si="115"/>
        <v>26934.068576042773</v>
      </c>
      <c r="N1231" s="1548">
        <v>453236.20731722959</v>
      </c>
      <c r="O1231" s="724">
        <f t="shared" si="116"/>
        <v>26934.068576042773</v>
      </c>
      <c r="P1231" s="724">
        <f t="shared" si="117"/>
        <v>0</v>
      </c>
      <c r="Q1231" s="674"/>
    </row>
    <row r="1232" spans="1:17">
      <c r="B1232" s="330"/>
      <c r="C1232" s="720">
        <f>IF(D1219="","-",+C1231+1)</f>
        <v>2022</v>
      </c>
      <c r="D1232" s="673">
        <f t="shared" si="118"/>
        <v>2641972.1004545456</v>
      </c>
      <c r="E1232" s="726">
        <f t="shared" si="119"/>
        <v>69525.581590909089</v>
      </c>
      <c r="F1232" s="726">
        <f t="shared" si="112"/>
        <v>2572446.5188636365</v>
      </c>
      <c r="G1232" s="673">
        <f t="shared" si="113"/>
        <v>2607209.3096590908</v>
      </c>
      <c r="H1232" s="721">
        <f>+J1220*G1232+E1232</f>
        <v>469504.17993736675</v>
      </c>
      <c r="I1232" s="727">
        <f>+J1221*G1232+E1232</f>
        <v>469504.17993736675</v>
      </c>
      <c r="J1232" s="724">
        <f t="shared" si="114"/>
        <v>0</v>
      </c>
      <c r="K1232" s="724"/>
      <c r="L1232" s="728">
        <v>0</v>
      </c>
      <c r="M1232" s="724">
        <f t="shared" si="115"/>
        <v>0</v>
      </c>
      <c r="N1232" s="728">
        <v>0</v>
      </c>
      <c r="O1232" s="724">
        <f t="shared" si="116"/>
        <v>0</v>
      </c>
      <c r="P1232" s="724">
        <f t="shared" si="117"/>
        <v>0</v>
      </c>
      <c r="Q1232" s="674"/>
    </row>
    <row r="1233" spans="2:17">
      <c r="B1233" s="330"/>
      <c r="C1233" s="720">
        <f>IF(D1219="","-",+C1232+1)</f>
        <v>2023</v>
      </c>
      <c r="D1233" s="673">
        <f t="shared" si="118"/>
        <v>2572446.5188636365</v>
      </c>
      <c r="E1233" s="726">
        <f t="shared" si="119"/>
        <v>69525.581590909089</v>
      </c>
      <c r="F1233" s="726">
        <f t="shared" si="112"/>
        <v>2502920.9372727275</v>
      </c>
      <c r="G1233" s="673">
        <f t="shared" si="113"/>
        <v>2537683.7280681822</v>
      </c>
      <c r="H1233" s="721">
        <f>+J1220*G1233+E1233</f>
        <v>458838.0839814613</v>
      </c>
      <c r="I1233" s="727">
        <f>+J1221*G1233+E1233</f>
        <v>458838.0839814613</v>
      </c>
      <c r="J1233" s="724">
        <f t="shared" si="114"/>
        <v>0</v>
      </c>
      <c r="K1233" s="724"/>
      <c r="L1233" s="728">
        <v>0</v>
      </c>
      <c r="M1233" s="724">
        <f t="shared" si="115"/>
        <v>0</v>
      </c>
      <c r="N1233" s="728">
        <v>0</v>
      </c>
      <c r="O1233" s="724">
        <f t="shared" si="116"/>
        <v>0</v>
      </c>
      <c r="P1233" s="724">
        <f t="shared" si="117"/>
        <v>0</v>
      </c>
      <c r="Q1233" s="674"/>
    </row>
    <row r="1234" spans="2:17">
      <c r="B1234" s="330"/>
      <c r="C1234" s="1291">
        <f>IF(D1219="","-",+C1233+1)</f>
        <v>2024</v>
      </c>
      <c r="D1234" s="673">
        <f t="shared" si="118"/>
        <v>2502920.9372727275</v>
      </c>
      <c r="E1234" s="726">
        <f t="shared" si="119"/>
        <v>69525.581590909089</v>
      </c>
      <c r="F1234" s="726">
        <f t="shared" si="112"/>
        <v>2433395.3556818184</v>
      </c>
      <c r="G1234" s="673">
        <f t="shared" si="113"/>
        <v>2468158.1464772727</v>
      </c>
      <c r="H1234" s="721">
        <f>+J1220*G1234+E1234</f>
        <v>448171.98802555568</v>
      </c>
      <c r="I1234" s="727">
        <f>+J1221*G1234+E1234</f>
        <v>448171.98802555568</v>
      </c>
      <c r="J1234" s="724">
        <f t="shared" si="114"/>
        <v>0</v>
      </c>
      <c r="K1234" s="724"/>
      <c r="L1234" s="728">
        <v>0</v>
      </c>
      <c r="M1234" s="724">
        <f t="shared" si="115"/>
        <v>0</v>
      </c>
      <c r="N1234" s="728">
        <v>0</v>
      </c>
      <c r="O1234" s="724">
        <f t="shared" si="116"/>
        <v>0</v>
      </c>
      <c r="P1234" s="724">
        <f t="shared" si="117"/>
        <v>0</v>
      </c>
      <c r="Q1234" s="674"/>
    </row>
    <row r="1235" spans="2:17">
      <c r="B1235" s="330"/>
      <c r="C1235" s="720">
        <f>IF(D1219="","-",+C1234+1)</f>
        <v>2025</v>
      </c>
      <c r="D1235" s="673">
        <f t="shared" si="118"/>
        <v>2433395.3556818184</v>
      </c>
      <c r="E1235" s="726">
        <f t="shared" si="119"/>
        <v>69525.581590909089</v>
      </c>
      <c r="F1235" s="726">
        <f t="shared" si="112"/>
        <v>2363869.7740909094</v>
      </c>
      <c r="G1235" s="673">
        <f t="shared" si="113"/>
        <v>2398632.5648863642</v>
      </c>
      <c r="H1235" s="721">
        <f>+J1220*G1235+E1235</f>
        <v>437505.89206965023</v>
      </c>
      <c r="I1235" s="727">
        <f>+J1221*G1235+E1235</f>
        <v>437505.89206965023</v>
      </c>
      <c r="J1235" s="724">
        <f t="shared" si="114"/>
        <v>0</v>
      </c>
      <c r="K1235" s="724"/>
      <c r="L1235" s="728"/>
      <c r="M1235" s="724">
        <f t="shared" si="115"/>
        <v>0</v>
      </c>
      <c r="N1235" s="728"/>
      <c r="O1235" s="724">
        <f t="shared" si="116"/>
        <v>0</v>
      </c>
      <c r="P1235" s="724">
        <f t="shared" si="117"/>
        <v>0</v>
      </c>
      <c r="Q1235" s="674"/>
    </row>
    <row r="1236" spans="2:17">
      <c r="B1236" s="330"/>
      <c r="C1236" s="720">
        <f>IF(D1219="","-",+C1235+1)</f>
        <v>2026</v>
      </c>
      <c r="D1236" s="673">
        <f t="shared" si="118"/>
        <v>2363869.7740909094</v>
      </c>
      <c r="E1236" s="726">
        <f t="shared" si="119"/>
        <v>69525.581590909089</v>
      </c>
      <c r="F1236" s="726">
        <f t="shared" si="112"/>
        <v>2294344.1925000004</v>
      </c>
      <c r="G1236" s="673">
        <f t="shared" si="113"/>
        <v>2329106.9832954546</v>
      </c>
      <c r="H1236" s="721">
        <f>+J1220*G1236+E1236</f>
        <v>426839.79611374461</v>
      </c>
      <c r="I1236" s="727">
        <f>+J1221*G1236+E1236</f>
        <v>426839.79611374461</v>
      </c>
      <c r="J1236" s="724">
        <f t="shared" si="114"/>
        <v>0</v>
      </c>
      <c r="K1236" s="724"/>
      <c r="L1236" s="728"/>
      <c r="M1236" s="724">
        <f t="shared" si="115"/>
        <v>0</v>
      </c>
      <c r="N1236" s="728"/>
      <c r="O1236" s="724">
        <f t="shared" si="116"/>
        <v>0</v>
      </c>
      <c r="P1236" s="724">
        <f t="shared" si="117"/>
        <v>0</v>
      </c>
      <c r="Q1236" s="674"/>
    </row>
    <row r="1237" spans="2:17">
      <c r="B1237" s="330"/>
      <c r="C1237" s="720">
        <f>IF(D1219="","-",+C1236+1)</f>
        <v>2027</v>
      </c>
      <c r="D1237" s="673">
        <f t="shared" si="118"/>
        <v>2294344.1925000004</v>
      </c>
      <c r="E1237" s="726">
        <f t="shared" si="119"/>
        <v>69525.581590909089</v>
      </c>
      <c r="F1237" s="726">
        <f t="shared" si="112"/>
        <v>2224818.6109090913</v>
      </c>
      <c r="G1237" s="673">
        <f t="shared" si="113"/>
        <v>2259581.4017045461</v>
      </c>
      <c r="H1237" s="721">
        <f>+J1220*G1237+E1237</f>
        <v>416173.70015783916</v>
      </c>
      <c r="I1237" s="727">
        <f>+J1221*G1237+E1237</f>
        <v>416173.70015783916</v>
      </c>
      <c r="J1237" s="724">
        <f t="shared" si="114"/>
        <v>0</v>
      </c>
      <c r="K1237" s="724"/>
      <c r="L1237" s="728"/>
      <c r="M1237" s="724">
        <f t="shared" si="115"/>
        <v>0</v>
      </c>
      <c r="N1237" s="728"/>
      <c r="O1237" s="724">
        <f t="shared" si="116"/>
        <v>0</v>
      </c>
      <c r="P1237" s="724">
        <f t="shared" si="117"/>
        <v>0</v>
      </c>
      <c r="Q1237" s="674"/>
    </row>
    <row r="1238" spans="2:17">
      <c r="B1238" s="330"/>
      <c r="C1238" s="720">
        <f>IF(D1219="","-",+C1237+1)</f>
        <v>2028</v>
      </c>
      <c r="D1238" s="673">
        <f t="shared" si="118"/>
        <v>2224818.6109090913</v>
      </c>
      <c r="E1238" s="726">
        <f t="shared" si="119"/>
        <v>69525.581590909089</v>
      </c>
      <c r="F1238" s="726">
        <f t="shared" si="112"/>
        <v>2155293.0293181823</v>
      </c>
      <c r="G1238" s="673">
        <f t="shared" si="113"/>
        <v>2190055.8201136366</v>
      </c>
      <c r="H1238" s="721">
        <f>+J1220*G1238+E1238</f>
        <v>405507.60420193354</v>
      </c>
      <c r="I1238" s="727">
        <f>+J1221*G1238+E1238</f>
        <v>405507.60420193354</v>
      </c>
      <c r="J1238" s="724">
        <f t="shared" si="114"/>
        <v>0</v>
      </c>
      <c r="K1238" s="724"/>
      <c r="L1238" s="728"/>
      <c r="M1238" s="724">
        <f t="shared" si="115"/>
        <v>0</v>
      </c>
      <c r="N1238" s="728"/>
      <c r="O1238" s="724">
        <f t="shared" si="116"/>
        <v>0</v>
      </c>
      <c r="P1238" s="724">
        <f t="shared" si="117"/>
        <v>0</v>
      </c>
      <c r="Q1238" s="674"/>
    </row>
    <row r="1239" spans="2:17">
      <c r="B1239" s="330"/>
      <c r="C1239" s="720">
        <f>IF(D1219="","-",+C1238+1)</f>
        <v>2029</v>
      </c>
      <c r="D1239" s="673">
        <f t="shared" si="118"/>
        <v>2155293.0293181823</v>
      </c>
      <c r="E1239" s="726">
        <f t="shared" si="119"/>
        <v>69525.581590909089</v>
      </c>
      <c r="F1239" s="726">
        <f t="shared" si="112"/>
        <v>2085767.4477272732</v>
      </c>
      <c r="G1239" s="673">
        <f t="shared" si="113"/>
        <v>2120530.238522728</v>
      </c>
      <c r="H1239" s="721">
        <f>+J1220*G1239+E1239</f>
        <v>394841.5082460281</v>
      </c>
      <c r="I1239" s="727">
        <f>+J1221*G1239+E1239</f>
        <v>394841.5082460281</v>
      </c>
      <c r="J1239" s="724">
        <f t="shared" si="114"/>
        <v>0</v>
      </c>
      <c r="K1239" s="724"/>
      <c r="L1239" s="728"/>
      <c r="M1239" s="724">
        <f t="shared" si="115"/>
        <v>0</v>
      </c>
      <c r="N1239" s="728"/>
      <c r="O1239" s="724">
        <f t="shared" si="116"/>
        <v>0</v>
      </c>
      <c r="P1239" s="724">
        <f t="shared" si="117"/>
        <v>0</v>
      </c>
      <c r="Q1239" s="674"/>
    </row>
    <row r="1240" spans="2:17">
      <c r="B1240" s="330"/>
      <c r="C1240" s="720">
        <f>IF(D1219="","-",+C1239+1)</f>
        <v>2030</v>
      </c>
      <c r="D1240" s="673">
        <f t="shared" si="118"/>
        <v>2085767.4477272732</v>
      </c>
      <c r="E1240" s="726">
        <f t="shared" si="119"/>
        <v>69525.581590909089</v>
      </c>
      <c r="F1240" s="726">
        <f t="shared" si="112"/>
        <v>2016241.8661363642</v>
      </c>
      <c r="G1240" s="673">
        <f t="shared" si="113"/>
        <v>2051004.6569318187</v>
      </c>
      <c r="H1240" s="721">
        <f>+J1220*G1240+E1240</f>
        <v>384175.41229012253</v>
      </c>
      <c r="I1240" s="727">
        <f>+J1221*G1240+E1240</f>
        <v>384175.41229012253</v>
      </c>
      <c r="J1240" s="724">
        <f t="shared" si="114"/>
        <v>0</v>
      </c>
      <c r="K1240" s="724"/>
      <c r="L1240" s="728"/>
      <c r="M1240" s="724">
        <f t="shared" si="115"/>
        <v>0</v>
      </c>
      <c r="N1240" s="728"/>
      <c r="O1240" s="724">
        <f t="shared" si="116"/>
        <v>0</v>
      </c>
      <c r="P1240" s="724">
        <f t="shared" si="117"/>
        <v>0</v>
      </c>
      <c r="Q1240" s="674"/>
    </row>
    <row r="1241" spans="2:17">
      <c r="B1241" s="330"/>
      <c r="C1241" s="720">
        <f>IF(D1219="","-",+C1240+1)</f>
        <v>2031</v>
      </c>
      <c r="D1241" s="673">
        <f t="shared" si="118"/>
        <v>2016241.8661363642</v>
      </c>
      <c r="E1241" s="726">
        <f t="shared" si="119"/>
        <v>69525.581590909089</v>
      </c>
      <c r="F1241" s="726">
        <f t="shared" si="112"/>
        <v>1946716.2845454551</v>
      </c>
      <c r="G1241" s="673">
        <f t="shared" si="113"/>
        <v>1981479.0753409097</v>
      </c>
      <c r="H1241" s="721">
        <f>+J1220*G1241+E1241</f>
        <v>373509.31633421703</v>
      </c>
      <c r="I1241" s="727">
        <f>+J1221*G1241+E1241</f>
        <v>373509.31633421703</v>
      </c>
      <c r="J1241" s="724">
        <f t="shared" si="114"/>
        <v>0</v>
      </c>
      <c r="K1241" s="724"/>
      <c r="L1241" s="728"/>
      <c r="M1241" s="724">
        <f t="shared" si="115"/>
        <v>0</v>
      </c>
      <c r="N1241" s="728"/>
      <c r="O1241" s="724">
        <f t="shared" si="116"/>
        <v>0</v>
      </c>
      <c r="P1241" s="724">
        <f t="shared" si="117"/>
        <v>0</v>
      </c>
      <c r="Q1241" s="674"/>
    </row>
    <row r="1242" spans="2:17">
      <c r="B1242" s="330"/>
      <c r="C1242" s="720">
        <f>IF(D1219="","-",+C1241+1)</f>
        <v>2032</v>
      </c>
      <c r="D1242" s="673">
        <f t="shared" si="118"/>
        <v>1946716.2845454551</v>
      </c>
      <c r="E1242" s="726">
        <f t="shared" si="119"/>
        <v>69525.581590909089</v>
      </c>
      <c r="F1242" s="726">
        <f t="shared" si="112"/>
        <v>1877190.7029545461</v>
      </c>
      <c r="G1242" s="673">
        <f t="shared" si="113"/>
        <v>1911953.4937500006</v>
      </c>
      <c r="H1242" s="721">
        <f>+J1220*G1242+E1242</f>
        <v>362843.22037831147</v>
      </c>
      <c r="I1242" s="727">
        <f>+J1221*G1242+E1242</f>
        <v>362843.22037831147</v>
      </c>
      <c r="J1242" s="724">
        <f t="shared" si="114"/>
        <v>0</v>
      </c>
      <c r="K1242" s="724"/>
      <c r="L1242" s="728"/>
      <c r="M1242" s="724">
        <f t="shared" si="115"/>
        <v>0</v>
      </c>
      <c r="N1242" s="728"/>
      <c r="O1242" s="724">
        <f t="shared" si="116"/>
        <v>0</v>
      </c>
      <c r="P1242" s="724">
        <f t="shared" si="117"/>
        <v>0</v>
      </c>
      <c r="Q1242" s="674"/>
    </row>
    <row r="1243" spans="2:17">
      <c r="B1243" s="330"/>
      <c r="C1243" s="720">
        <f>IF(D1219="","-",+C1242+1)</f>
        <v>2033</v>
      </c>
      <c r="D1243" s="673">
        <f t="shared" si="118"/>
        <v>1877190.7029545461</v>
      </c>
      <c r="E1243" s="726">
        <f t="shared" si="119"/>
        <v>69525.581590909089</v>
      </c>
      <c r="F1243" s="726">
        <f t="shared" si="112"/>
        <v>1807665.121363637</v>
      </c>
      <c r="G1243" s="673">
        <f t="shared" si="113"/>
        <v>1842427.9121590916</v>
      </c>
      <c r="H1243" s="721">
        <f>+J1220*G1243+E1243</f>
        <v>352177.12442240596</v>
      </c>
      <c r="I1243" s="727">
        <f>+J1221*G1243+E1243</f>
        <v>352177.12442240596</v>
      </c>
      <c r="J1243" s="724">
        <f t="shared" si="114"/>
        <v>0</v>
      </c>
      <c r="K1243" s="724"/>
      <c r="L1243" s="728"/>
      <c r="M1243" s="724">
        <f t="shared" si="115"/>
        <v>0</v>
      </c>
      <c r="N1243" s="728"/>
      <c r="O1243" s="724">
        <f t="shared" si="116"/>
        <v>0</v>
      </c>
      <c r="P1243" s="724">
        <f t="shared" si="117"/>
        <v>0</v>
      </c>
      <c r="Q1243" s="674"/>
    </row>
    <row r="1244" spans="2:17">
      <c r="B1244" s="330"/>
      <c r="C1244" s="720">
        <f>IF(D1219="","-",+C1243+1)</f>
        <v>2034</v>
      </c>
      <c r="D1244" s="673">
        <f t="shared" si="118"/>
        <v>1807665.121363637</v>
      </c>
      <c r="E1244" s="726">
        <f t="shared" si="119"/>
        <v>69525.581590909089</v>
      </c>
      <c r="F1244" s="726">
        <f t="shared" si="112"/>
        <v>1738139.539772728</v>
      </c>
      <c r="G1244" s="673">
        <f t="shared" si="113"/>
        <v>1772902.3305681825</v>
      </c>
      <c r="H1244" s="721">
        <f>+J1220*G1244+E1244</f>
        <v>341511.0284665004</v>
      </c>
      <c r="I1244" s="727">
        <f>+J1221*G1244+E1244</f>
        <v>341511.0284665004</v>
      </c>
      <c r="J1244" s="724">
        <f t="shared" si="114"/>
        <v>0</v>
      </c>
      <c r="K1244" s="724"/>
      <c r="L1244" s="728"/>
      <c r="M1244" s="724">
        <f t="shared" si="115"/>
        <v>0</v>
      </c>
      <c r="N1244" s="728"/>
      <c r="O1244" s="724">
        <f t="shared" si="116"/>
        <v>0</v>
      </c>
      <c r="P1244" s="724">
        <f t="shared" si="117"/>
        <v>0</v>
      </c>
      <c r="Q1244" s="674"/>
    </row>
    <row r="1245" spans="2:17">
      <c r="B1245" s="330"/>
      <c r="C1245" s="720">
        <f>IF(D1219="","-",+C1244+1)</f>
        <v>2035</v>
      </c>
      <c r="D1245" s="673">
        <f t="shared" si="118"/>
        <v>1738139.539772728</v>
      </c>
      <c r="E1245" s="726">
        <f t="shared" si="119"/>
        <v>69525.581590909089</v>
      </c>
      <c r="F1245" s="726">
        <f t="shared" si="112"/>
        <v>1668613.9581818189</v>
      </c>
      <c r="G1245" s="673">
        <f t="shared" si="113"/>
        <v>1703376.7489772735</v>
      </c>
      <c r="H1245" s="721">
        <f>+J1220*G1245+E1245</f>
        <v>330844.9325105949</v>
      </c>
      <c r="I1245" s="727">
        <f>+J1221*G1245+E1245</f>
        <v>330844.9325105949</v>
      </c>
      <c r="J1245" s="724">
        <f t="shared" si="114"/>
        <v>0</v>
      </c>
      <c r="K1245" s="724"/>
      <c r="L1245" s="728"/>
      <c r="M1245" s="724">
        <f t="shared" si="115"/>
        <v>0</v>
      </c>
      <c r="N1245" s="728"/>
      <c r="O1245" s="724">
        <f t="shared" si="116"/>
        <v>0</v>
      </c>
      <c r="P1245" s="724">
        <f t="shared" si="117"/>
        <v>0</v>
      </c>
      <c r="Q1245" s="674"/>
    </row>
    <row r="1246" spans="2:17">
      <c r="B1246" s="330"/>
      <c r="C1246" s="720">
        <f>IF(D1219="","-",+C1245+1)</f>
        <v>2036</v>
      </c>
      <c r="D1246" s="673">
        <f t="shared" si="118"/>
        <v>1668613.9581818189</v>
      </c>
      <c r="E1246" s="726">
        <f t="shared" si="119"/>
        <v>69525.581590909089</v>
      </c>
      <c r="F1246" s="726">
        <f t="shared" si="112"/>
        <v>1599088.3765909099</v>
      </c>
      <c r="G1246" s="673">
        <f t="shared" si="113"/>
        <v>1633851.1673863644</v>
      </c>
      <c r="H1246" s="721">
        <f>+J1220*G1246+E1246</f>
        <v>320178.83655468933</v>
      </c>
      <c r="I1246" s="727">
        <f>+J1221*G1246+E1246</f>
        <v>320178.83655468933</v>
      </c>
      <c r="J1246" s="724">
        <f t="shared" si="114"/>
        <v>0</v>
      </c>
      <c r="K1246" s="724"/>
      <c r="L1246" s="728"/>
      <c r="M1246" s="724">
        <f t="shared" si="115"/>
        <v>0</v>
      </c>
      <c r="N1246" s="728"/>
      <c r="O1246" s="724">
        <f t="shared" si="116"/>
        <v>0</v>
      </c>
      <c r="P1246" s="724">
        <f t="shared" si="117"/>
        <v>0</v>
      </c>
      <c r="Q1246" s="674"/>
    </row>
    <row r="1247" spans="2:17">
      <c r="B1247" s="330"/>
      <c r="C1247" s="720">
        <f>IF(D1219="","-",+C1246+1)</f>
        <v>2037</v>
      </c>
      <c r="D1247" s="673">
        <f t="shared" si="118"/>
        <v>1599088.3765909099</v>
      </c>
      <c r="E1247" s="726">
        <f t="shared" si="119"/>
        <v>69525.581590909089</v>
      </c>
      <c r="F1247" s="726">
        <f t="shared" si="112"/>
        <v>1529562.7950000009</v>
      </c>
      <c r="G1247" s="673">
        <f t="shared" si="113"/>
        <v>1564325.5857954554</v>
      </c>
      <c r="H1247" s="721">
        <f>+J1220*G1247+E1247</f>
        <v>309512.74059878383</v>
      </c>
      <c r="I1247" s="727">
        <f>+J1221*G1247+E1247</f>
        <v>309512.74059878383</v>
      </c>
      <c r="J1247" s="724">
        <f t="shared" si="114"/>
        <v>0</v>
      </c>
      <c r="K1247" s="724"/>
      <c r="L1247" s="728"/>
      <c r="M1247" s="724">
        <f t="shared" si="115"/>
        <v>0</v>
      </c>
      <c r="N1247" s="728"/>
      <c r="O1247" s="724">
        <f t="shared" si="116"/>
        <v>0</v>
      </c>
      <c r="P1247" s="724">
        <f t="shared" si="117"/>
        <v>0</v>
      </c>
      <c r="Q1247" s="674"/>
    </row>
    <row r="1248" spans="2:17">
      <c r="B1248" s="330"/>
      <c r="C1248" s="720">
        <f>IF(D1219="","-",+C1247+1)</f>
        <v>2038</v>
      </c>
      <c r="D1248" s="673">
        <f t="shared" si="118"/>
        <v>1529562.7950000009</v>
      </c>
      <c r="E1248" s="726">
        <f t="shared" si="119"/>
        <v>69525.581590909089</v>
      </c>
      <c r="F1248" s="726">
        <f t="shared" si="112"/>
        <v>1460037.2134090918</v>
      </c>
      <c r="G1248" s="673">
        <f t="shared" si="113"/>
        <v>1494800.0042045463</v>
      </c>
      <c r="H1248" s="721">
        <f>+J1220*G1248+E1248</f>
        <v>298846.64464287827</v>
      </c>
      <c r="I1248" s="727">
        <f>+J1221*G1248+E1248</f>
        <v>298846.64464287827</v>
      </c>
      <c r="J1248" s="724">
        <f t="shared" si="114"/>
        <v>0</v>
      </c>
      <c r="K1248" s="724"/>
      <c r="L1248" s="728"/>
      <c r="M1248" s="724">
        <f t="shared" si="115"/>
        <v>0</v>
      </c>
      <c r="N1248" s="728"/>
      <c r="O1248" s="724">
        <f t="shared" si="116"/>
        <v>0</v>
      </c>
      <c r="P1248" s="724">
        <f t="shared" si="117"/>
        <v>0</v>
      </c>
      <c r="Q1248" s="674"/>
    </row>
    <row r="1249" spans="2:17">
      <c r="B1249" s="330"/>
      <c r="C1249" s="720">
        <f>IF(D1219="","-",+C1248+1)</f>
        <v>2039</v>
      </c>
      <c r="D1249" s="673">
        <f t="shared" si="118"/>
        <v>1460037.2134090918</v>
      </c>
      <c r="E1249" s="726">
        <f t="shared" si="119"/>
        <v>69525.581590909089</v>
      </c>
      <c r="F1249" s="726">
        <f t="shared" si="112"/>
        <v>1390511.6318181828</v>
      </c>
      <c r="G1249" s="673">
        <f t="shared" si="113"/>
        <v>1425274.4226136373</v>
      </c>
      <c r="H1249" s="721">
        <f>+J1220*G1249+E1249</f>
        <v>288180.54868697276</v>
      </c>
      <c r="I1249" s="727">
        <f>+J1221*G1249+E1249</f>
        <v>288180.54868697276</v>
      </c>
      <c r="J1249" s="724">
        <f t="shared" si="114"/>
        <v>0</v>
      </c>
      <c r="K1249" s="724"/>
      <c r="L1249" s="728"/>
      <c r="M1249" s="724">
        <f t="shared" si="115"/>
        <v>0</v>
      </c>
      <c r="N1249" s="728"/>
      <c r="O1249" s="724">
        <f t="shared" si="116"/>
        <v>0</v>
      </c>
      <c r="P1249" s="724">
        <f t="shared" si="117"/>
        <v>0</v>
      </c>
      <c r="Q1249" s="674"/>
    </row>
    <row r="1250" spans="2:17">
      <c r="B1250" s="330"/>
      <c r="C1250" s="720">
        <f>IF(D1219="","-",+C1249+1)</f>
        <v>2040</v>
      </c>
      <c r="D1250" s="673">
        <f t="shared" si="118"/>
        <v>1390511.6318181828</v>
      </c>
      <c r="E1250" s="726">
        <f t="shared" si="119"/>
        <v>69525.581590909089</v>
      </c>
      <c r="F1250" s="726">
        <f t="shared" si="112"/>
        <v>1320986.0502272737</v>
      </c>
      <c r="G1250" s="673">
        <f t="shared" si="113"/>
        <v>1355748.8410227282</v>
      </c>
      <c r="H1250" s="721">
        <f>+J1220*G1250+E1250</f>
        <v>277514.4527310672</v>
      </c>
      <c r="I1250" s="727">
        <f>+J1221*G1250+E1250</f>
        <v>277514.4527310672</v>
      </c>
      <c r="J1250" s="724">
        <f t="shared" si="114"/>
        <v>0</v>
      </c>
      <c r="K1250" s="724"/>
      <c r="L1250" s="728"/>
      <c r="M1250" s="724">
        <f t="shared" si="115"/>
        <v>0</v>
      </c>
      <c r="N1250" s="728"/>
      <c r="O1250" s="724">
        <f t="shared" si="116"/>
        <v>0</v>
      </c>
      <c r="P1250" s="724">
        <f t="shared" si="117"/>
        <v>0</v>
      </c>
      <c r="Q1250" s="674"/>
    </row>
    <row r="1251" spans="2:17">
      <c r="B1251" s="330"/>
      <c r="C1251" s="720">
        <f>IF(D1219="","-",+C1250+1)</f>
        <v>2041</v>
      </c>
      <c r="D1251" s="673">
        <f t="shared" si="118"/>
        <v>1320986.0502272737</v>
      </c>
      <c r="E1251" s="726">
        <f t="shared" si="119"/>
        <v>69525.581590909089</v>
      </c>
      <c r="F1251" s="726">
        <f t="shared" si="112"/>
        <v>1251460.4686363647</v>
      </c>
      <c r="G1251" s="673">
        <f t="shared" si="113"/>
        <v>1286223.2594318192</v>
      </c>
      <c r="H1251" s="721">
        <f>+J1220*G1251+E1251</f>
        <v>266848.35677516169</v>
      </c>
      <c r="I1251" s="727">
        <f>+J1221*G1251+E1251</f>
        <v>266848.35677516169</v>
      </c>
      <c r="J1251" s="724">
        <f t="shared" si="114"/>
        <v>0</v>
      </c>
      <c r="K1251" s="724"/>
      <c r="L1251" s="728"/>
      <c r="M1251" s="724">
        <f t="shared" si="115"/>
        <v>0</v>
      </c>
      <c r="N1251" s="728"/>
      <c r="O1251" s="724">
        <f t="shared" si="116"/>
        <v>0</v>
      </c>
      <c r="P1251" s="724">
        <f t="shared" si="117"/>
        <v>0</v>
      </c>
      <c r="Q1251" s="674"/>
    </row>
    <row r="1252" spans="2:17">
      <c r="B1252" s="330"/>
      <c r="C1252" s="720">
        <f>IF(D1219="","-",+C1251+1)</f>
        <v>2042</v>
      </c>
      <c r="D1252" s="673">
        <f t="shared" si="118"/>
        <v>1251460.4686363647</v>
      </c>
      <c r="E1252" s="726">
        <f t="shared" si="119"/>
        <v>69525.581590909089</v>
      </c>
      <c r="F1252" s="726">
        <f t="shared" si="112"/>
        <v>1181934.8870454556</v>
      </c>
      <c r="G1252" s="673">
        <f t="shared" si="113"/>
        <v>1216697.6778409102</v>
      </c>
      <c r="H1252" s="721">
        <f>+J1220*G1252+E1252</f>
        <v>256182.26081925613</v>
      </c>
      <c r="I1252" s="727">
        <f>+J1221*G1252+E1252</f>
        <v>256182.26081925613</v>
      </c>
      <c r="J1252" s="724">
        <f t="shared" si="114"/>
        <v>0</v>
      </c>
      <c r="K1252" s="724"/>
      <c r="L1252" s="728"/>
      <c r="M1252" s="724">
        <f t="shared" si="115"/>
        <v>0</v>
      </c>
      <c r="N1252" s="728"/>
      <c r="O1252" s="724">
        <f t="shared" si="116"/>
        <v>0</v>
      </c>
      <c r="P1252" s="724">
        <f t="shared" si="117"/>
        <v>0</v>
      </c>
      <c r="Q1252" s="674"/>
    </row>
    <row r="1253" spans="2:17">
      <c r="B1253" s="330"/>
      <c r="C1253" s="720">
        <f>IF(D1219="","-",+C1252+1)</f>
        <v>2043</v>
      </c>
      <c r="D1253" s="673">
        <f t="shared" si="118"/>
        <v>1181934.8870454556</v>
      </c>
      <c r="E1253" s="726">
        <f t="shared" si="119"/>
        <v>69525.581590909089</v>
      </c>
      <c r="F1253" s="726">
        <f t="shared" si="112"/>
        <v>1112409.3054545466</v>
      </c>
      <c r="G1253" s="673">
        <f t="shared" si="113"/>
        <v>1147172.0962500011</v>
      </c>
      <c r="H1253" s="721">
        <f>+J1220*G1253+E1253</f>
        <v>245516.16486335063</v>
      </c>
      <c r="I1253" s="727">
        <f>+J1221*G1253+E1253</f>
        <v>245516.16486335063</v>
      </c>
      <c r="J1253" s="724">
        <f t="shared" si="114"/>
        <v>0</v>
      </c>
      <c r="K1253" s="724"/>
      <c r="L1253" s="728"/>
      <c r="M1253" s="724">
        <f t="shared" si="115"/>
        <v>0</v>
      </c>
      <c r="N1253" s="728"/>
      <c r="O1253" s="724">
        <f t="shared" si="116"/>
        <v>0</v>
      </c>
      <c r="P1253" s="724">
        <f t="shared" si="117"/>
        <v>0</v>
      </c>
      <c r="Q1253" s="674"/>
    </row>
    <row r="1254" spans="2:17">
      <c r="B1254" s="330"/>
      <c r="C1254" s="720">
        <f>IF(D1219="","-",+C1253+1)</f>
        <v>2044</v>
      </c>
      <c r="D1254" s="673">
        <f t="shared" si="118"/>
        <v>1112409.3054545466</v>
      </c>
      <c r="E1254" s="726">
        <f t="shared" si="119"/>
        <v>69525.581590909089</v>
      </c>
      <c r="F1254" s="726">
        <f t="shared" si="112"/>
        <v>1042883.7238636375</v>
      </c>
      <c r="G1254" s="673">
        <f t="shared" si="113"/>
        <v>1077646.5146590921</v>
      </c>
      <c r="H1254" s="721">
        <f>+J1220*G1254+E1254</f>
        <v>234850.06890744512</v>
      </c>
      <c r="I1254" s="727">
        <f>+J1221*G1254+E1254</f>
        <v>234850.06890744512</v>
      </c>
      <c r="J1254" s="724">
        <f t="shared" si="114"/>
        <v>0</v>
      </c>
      <c r="K1254" s="724"/>
      <c r="L1254" s="728"/>
      <c r="M1254" s="724">
        <f t="shared" si="115"/>
        <v>0</v>
      </c>
      <c r="N1254" s="728"/>
      <c r="O1254" s="724">
        <f t="shared" si="116"/>
        <v>0</v>
      </c>
      <c r="P1254" s="724">
        <f t="shared" si="117"/>
        <v>0</v>
      </c>
      <c r="Q1254" s="674"/>
    </row>
    <row r="1255" spans="2:17">
      <c r="B1255" s="330"/>
      <c r="C1255" s="720">
        <f>IF(D1219="","-",+C1254+1)</f>
        <v>2045</v>
      </c>
      <c r="D1255" s="673">
        <f t="shared" si="118"/>
        <v>1042883.7238636375</v>
      </c>
      <c r="E1255" s="726">
        <f t="shared" si="119"/>
        <v>69525.581590909089</v>
      </c>
      <c r="F1255" s="726">
        <f t="shared" si="112"/>
        <v>973358.1422727285</v>
      </c>
      <c r="G1255" s="673">
        <f t="shared" si="113"/>
        <v>1008120.933068183</v>
      </c>
      <c r="H1255" s="721">
        <f>+J1220*G1255+E1255</f>
        <v>224183.97295153956</v>
      </c>
      <c r="I1255" s="727">
        <f>+J1221*G1255+E1255</f>
        <v>224183.97295153956</v>
      </c>
      <c r="J1255" s="724">
        <f t="shared" si="114"/>
        <v>0</v>
      </c>
      <c r="K1255" s="724"/>
      <c r="L1255" s="728"/>
      <c r="M1255" s="724">
        <f t="shared" si="115"/>
        <v>0</v>
      </c>
      <c r="N1255" s="728"/>
      <c r="O1255" s="724">
        <f t="shared" si="116"/>
        <v>0</v>
      </c>
      <c r="P1255" s="724">
        <f t="shared" si="117"/>
        <v>0</v>
      </c>
      <c r="Q1255" s="674"/>
    </row>
    <row r="1256" spans="2:17">
      <c r="B1256" s="330"/>
      <c r="C1256" s="720">
        <f>IF(D1219="","-",+C1255+1)</f>
        <v>2046</v>
      </c>
      <c r="D1256" s="673">
        <f t="shared" si="118"/>
        <v>973358.1422727285</v>
      </c>
      <c r="E1256" s="726">
        <f t="shared" si="119"/>
        <v>69525.581590909089</v>
      </c>
      <c r="F1256" s="726">
        <f t="shared" si="112"/>
        <v>903832.56068181945</v>
      </c>
      <c r="G1256" s="673">
        <f t="shared" si="113"/>
        <v>938595.35147727397</v>
      </c>
      <c r="H1256" s="721">
        <f>+J1220*G1256+E1256</f>
        <v>213517.87699563405</v>
      </c>
      <c r="I1256" s="727">
        <f>+J1221*G1256+E1256</f>
        <v>213517.87699563405</v>
      </c>
      <c r="J1256" s="724">
        <f t="shared" si="114"/>
        <v>0</v>
      </c>
      <c r="K1256" s="724"/>
      <c r="L1256" s="728"/>
      <c r="M1256" s="724">
        <f t="shared" si="115"/>
        <v>0</v>
      </c>
      <c r="N1256" s="728"/>
      <c r="O1256" s="724">
        <f t="shared" si="116"/>
        <v>0</v>
      </c>
      <c r="P1256" s="724">
        <f t="shared" si="117"/>
        <v>0</v>
      </c>
      <c r="Q1256" s="674"/>
    </row>
    <row r="1257" spans="2:17">
      <c r="B1257" s="330"/>
      <c r="C1257" s="720">
        <f>IF(D1219="","-",+C1256+1)</f>
        <v>2047</v>
      </c>
      <c r="D1257" s="673">
        <f t="shared" si="118"/>
        <v>903832.56068181945</v>
      </c>
      <c r="E1257" s="726">
        <f t="shared" si="119"/>
        <v>69525.581590909089</v>
      </c>
      <c r="F1257" s="726">
        <f t="shared" si="112"/>
        <v>834306.9790909104</v>
      </c>
      <c r="G1257" s="673">
        <f t="shared" si="113"/>
        <v>869069.76988636493</v>
      </c>
      <c r="H1257" s="721">
        <f>+J1220*G1257+E1257</f>
        <v>202851.78103972849</v>
      </c>
      <c r="I1257" s="727">
        <f>+J1221*G1257+E1257</f>
        <v>202851.78103972849</v>
      </c>
      <c r="J1257" s="724">
        <f t="shared" si="114"/>
        <v>0</v>
      </c>
      <c r="K1257" s="724"/>
      <c r="L1257" s="728"/>
      <c r="M1257" s="724">
        <f t="shared" si="115"/>
        <v>0</v>
      </c>
      <c r="N1257" s="728"/>
      <c r="O1257" s="724">
        <f t="shared" si="116"/>
        <v>0</v>
      </c>
      <c r="P1257" s="724">
        <f t="shared" si="117"/>
        <v>0</v>
      </c>
      <c r="Q1257" s="674"/>
    </row>
    <row r="1258" spans="2:17">
      <c r="B1258" s="330"/>
      <c r="C1258" s="720">
        <f>IF(D1219="","-",+C1257+1)</f>
        <v>2048</v>
      </c>
      <c r="D1258" s="673">
        <f t="shared" si="118"/>
        <v>834306.9790909104</v>
      </c>
      <c r="E1258" s="726">
        <f t="shared" si="119"/>
        <v>69525.581590909089</v>
      </c>
      <c r="F1258" s="726">
        <f t="shared" si="112"/>
        <v>764781.39750000136</v>
      </c>
      <c r="G1258" s="673">
        <f t="shared" si="113"/>
        <v>799544.18829545588</v>
      </c>
      <c r="H1258" s="721">
        <f>+J1220*G1258+E1258</f>
        <v>192185.68508382299</v>
      </c>
      <c r="I1258" s="727">
        <f>+J1221*G1258+E1258</f>
        <v>192185.68508382299</v>
      </c>
      <c r="J1258" s="724">
        <f t="shared" si="114"/>
        <v>0</v>
      </c>
      <c r="K1258" s="724"/>
      <c r="L1258" s="728"/>
      <c r="M1258" s="724">
        <f t="shared" si="115"/>
        <v>0</v>
      </c>
      <c r="N1258" s="728"/>
      <c r="O1258" s="724">
        <f t="shared" si="116"/>
        <v>0</v>
      </c>
      <c r="P1258" s="724">
        <f t="shared" si="117"/>
        <v>0</v>
      </c>
      <c r="Q1258" s="674"/>
    </row>
    <row r="1259" spans="2:17">
      <c r="B1259" s="330"/>
      <c r="C1259" s="720">
        <f>IF(D1219="","-",+C1258+1)</f>
        <v>2049</v>
      </c>
      <c r="D1259" s="673">
        <f t="shared" si="118"/>
        <v>764781.39750000136</v>
      </c>
      <c r="E1259" s="726">
        <f t="shared" si="119"/>
        <v>69525.581590909089</v>
      </c>
      <c r="F1259" s="726">
        <f t="shared" si="112"/>
        <v>695255.81590909231</v>
      </c>
      <c r="G1259" s="673">
        <f t="shared" si="113"/>
        <v>730018.60670454684</v>
      </c>
      <c r="H1259" s="721">
        <f>+J1220*G1259+E1259</f>
        <v>181519.58912791742</v>
      </c>
      <c r="I1259" s="727">
        <f>+J1221*G1259+E1259</f>
        <v>181519.58912791742</v>
      </c>
      <c r="J1259" s="724">
        <f t="shared" si="114"/>
        <v>0</v>
      </c>
      <c r="K1259" s="724"/>
      <c r="L1259" s="728"/>
      <c r="M1259" s="724">
        <f t="shared" si="115"/>
        <v>0</v>
      </c>
      <c r="N1259" s="728"/>
      <c r="O1259" s="724">
        <f t="shared" si="116"/>
        <v>0</v>
      </c>
      <c r="P1259" s="724">
        <f t="shared" si="117"/>
        <v>0</v>
      </c>
      <c r="Q1259" s="674"/>
    </row>
    <row r="1260" spans="2:17">
      <c r="B1260" s="330"/>
      <c r="C1260" s="720">
        <f>IF(D1219="","-",+C1259+1)</f>
        <v>2050</v>
      </c>
      <c r="D1260" s="673">
        <f t="shared" si="118"/>
        <v>695255.81590909231</v>
      </c>
      <c r="E1260" s="726">
        <f t="shared" si="119"/>
        <v>69525.581590909089</v>
      </c>
      <c r="F1260" s="726">
        <f t="shared" si="112"/>
        <v>625730.23431818327</v>
      </c>
      <c r="G1260" s="673">
        <f t="shared" si="113"/>
        <v>660493.02511363779</v>
      </c>
      <c r="H1260" s="721">
        <f>+J1220*G1260+E1260</f>
        <v>170853.49317201192</v>
      </c>
      <c r="I1260" s="727">
        <f>+J1221*G1260+E1260</f>
        <v>170853.49317201192</v>
      </c>
      <c r="J1260" s="724">
        <f t="shared" si="114"/>
        <v>0</v>
      </c>
      <c r="K1260" s="724"/>
      <c r="L1260" s="728"/>
      <c r="M1260" s="724">
        <f t="shared" si="115"/>
        <v>0</v>
      </c>
      <c r="N1260" s="728"/>
      <c r="O1260" s="724">
        <f t="shared" si="116"/>
        <v>0</v>
      </c>
      <c r="P1260" s="724">
        <f t="shared" si="117"/>
        <v>0</v>
      </c>
      <c r="Q1260" s="674"/>
    </row>
    <row r="1261" spans="2:17">
      <c r="B1261" s="330"/>
      <c r="C1261" s="720">
        <f>IF(D1219="","-",+C1260+1)</f>
        <v>2051</v>
      </c>
      <c r="D1261" s="673">
        <f t="shared" si="118"/>
        <v>625730.23431818327</v>
      </c>
      <c r="E1261" s="726">
        <f t="shared" si="119"/>
        <v>69525.581590909089</v>
      </c>
      <c r="F1261" s="726">
        <f t="shared" si="112"/>
        <v>556204.65272727422</v>
      </c>
      <c r="G1261" s="673">
        <f t="shared" si="113"/>
        <v>590967.44352272875</v>
      </c>
      <c r="H1261" s="721">
        <f>+J1220*G1261+E1261</f>
        <v>160187.39721610639</v>
      </c>
      <c r="I1261" s="727">
        <f>+J1221*G1261+E1261</f>
        <v>160187.39721610639</v>
      </c>
      <c r="J1261" s="724">
        <f t="shared" si="114"/>
        <v>0</v>
      </c>
      <c r="K1261" s="724"/>
      <c r="L1261" s="728"/>
      <c r="M1261" s="724">
        <f t="shared" si="115"/>
        <v>0</v>
      </c>
      <c r="N1261" s="728"/>
      <c r="O1261" s="724">
        <f t="shared" si="116"/>
        <v>0</v>
      </c>
      <c r="P1261" s="724">
        <f t="shared" si="117"/>
        <v>0</v>
      </c>
      <c r="Q1261" s="674"/>
    </row>
    <row r="1262" spans="2:17">
      <c r="B1262" s="330"/>
      <c r="C1262" s="720">
        <f>IF(D1219="","-",+C1261+1)</f>
        <v>2052</v>
      </c>
      <c r="D1262" s="673">
        <f t="shared" si="118"/>
        <v>556204.65272727422</v>
      </c>
      <c r="E1262" s="726">
        <f t="shared" si="119"/>
        <v>69525.581590909089</v>
      </c>
      <c r="F1262" s="726">
        <f t="shared" si="112"/>
        <v>486679.07113636512</v>
      </c>
      <c r="G1262" s="673">
        <f t="shared" si="113"/>
        <v>521441.8619318197</v>
      </c>
      <c r="H1262" s="721">
        <f>+J1220*G1262+E1262</f>
        <v>149521.30126020085</v>
      </c>
      <c r="I1262" s="727">
        <f>+J1221*G1262+E1262</f>
        <v>149521.30126020085</v>
      </c>
      <c r="J1262" s="724">
        <f t="shared" si="114"/>
        <v>0</v>
      </c>
      <c r="K1262" s="724"/>
      <c r="L1262" s="728"/>
      <c r="M1262" s="724">
        <f t="shared" si="115"/>
        <v>0</v>
      </c>
      <c r="N1262" s="728"/>
      <c r="O1262" s="724">
        <f t="shared" si="116"/>
        <v>0</v>
      </c>
      <c r="P1262" s="724">
        <f t="shared" si="117"/>
        <v>0</v>
      </c>
      <c r="Q1262" s="674"/>
    </row>
    <row r="1263" spans="2:17">
      <c r="B1263" s="330"/>
      <c r="C1263" s="720">
        <f>IF(D1219="","-",+C1262+1)</f>
        <v>2053</v>
      </c>
      <c r="D1263" s="673">
        <f t="shared" si="118"/>
        <v>486679.07113636512</v>
      </c>
      <c r="E1263" s="726">
        <f t="shared" si="119"/>
        <v>69525.581590909089</v>
      </c>
      <c r="F1263" s="726">
        <f t="shared" si="112"/>
        <v>417153.48954545602</v>
      </c>
      <c r="G1263" s="673">
        <f t="shared" si="113"/>
        <v>451916.28034091054</v>
      </c>
      <c r="H1263" s="721">
        <f>+J1220*G1263+E1263</f>
        <v>138855.20530429529</v>
      </c>
      <c r="I1263" s="727">
        <f>+J1221*G1263+E1263</f>
        <v>138855.20530429529</v>
      </c>
      <c r="J1263" s="724">
        <f t="shared" si="114"/>
        <v>0</v>
      </c>
      <c r="K1263" s="724"/>
      <c r="L1263" s="728"/>
      <c r="M1263" s="724">
        <f t="shared" si="115"/>
        <v>0</v>
      </c>
      <c r="N1263" s="728"/>
      <c r="O1263" s="724">
        <f t="shared" si="116"/>
        <v>0</v>
      </c>
      <c r="P1263" s="724">
        <f t="shared" si="117"/>
        <v>0</v>
      </c>
      <c r="Q1263" s="674"/>
    </row>
    <row r="1264" spans="2:17">
      <c r="B1264" s="330"/>
      <c r="C1264" s="720">
        <f>IF(D1219="","-",+C1263+1)</f>
        <v>2054</v>
      </c>
      <c r="D1264" s="673">
        <f t="shared" si="118"/>
        <v>417153.48954545602</v>
      </c>
      <c r="E1264" s="726">
        <f t="shared" si="119"/>
        <v>69525.581590909089</v>
      </c>
      <c r="F1264" s="726">
        <f t="shared" si="112"/>
        <v>347627.90795454691</v>
      </c>
      <c r="G1264" s="673">
        <f t="shared" si="113"/>
        <v>382390.69875000149</v>
      </c>
      <c r="H1264" s="721">
        <f>+J1220*G1264+E1264</f>
        <v>128189.10934838977</v>
      </c>
      <c r="I1264" s="727">
        <f>+J1221*G1264+E1264</f>
        <v>128189.10934838977</v>
      </c>
      <c r="J1264" s="724">
        <f t="shared" si="114"/>
        <v>0</v>
      </c>
      <c r="K1264" s="724"/>
      <c r="L1264" s="728"/>
      <c r="M1264" s="724">
        <f t="shared" si="115"/>
        <v>0</v>
      </c>
      <c r="N1264" s="728"/>
      <c r="O1264" s="724">
        <f t="shared" si="116"/>
        <v>0</v>
      </c>
      <c r="P1264" s="724">
        <f t="shared" si="117"/>
        <v>0</v>
      </c>
      <c r="Q1264" s="674"/>
    </row>
    <row r="1265" spans="2:17">
      <c r="B1265" s="330"/>
      <c r="C1265" s="720">
        <f>IF(D1219="","-",+C1264+1)</f>
        <v>2055</v>
      </c>
      <c r="D1265" s="673">
        <f t="shared" si="118"/>
        <v>347627.90795454691</v>
      </c>
      <c r="E1265" s="726">
        <f t="shared" si="119"/>
        <v>69525.581590909089</v>
      </c>
      <c r="F1265" s="726">
        <f t="shared" si="112"/>
        <v>278102.32636363781</v>
      </c>
      <c r="G1265" s="673">
        <f t="shared" si="113"/>
        <v>312865.11715909233</v>
      </c>
      <c r="H1265" s="721">
        <f>+J1220*G1265+E1265</f>
        <v>117523.01339248422</v>
      </c>
      <c r="I1265" s="727">
        <f>+J1221*G1265+E1265</f>
        <v>117523.01339248422</v>
      </c>
      <c r="J1265" s="724">
        <f t="shared" si="114"/>
        <v>0</v>
      </c>
      <c r="K1265" s="724"/>
      <c r="L1265" s="728"/>
      <c r="M1265" s="724">
        <f t="shared" si="115"/>
        <v>0</v>
      </c>
      <c r="N1265" s="728"/>
      <c r="O1265" s="724">
        <f t="shared" si="116"/>
        <v>0</v>
      </c>
      <c r="P1265" s="724">
        <f t="shared" si="117"/>
        <v>0</v>
      </c>
      <c r="Q1265" s="674"/>
    </row>
    <row r="1266" spans="2:17">
      <c r="B1266" s="330"/>
      <c r="C1266" s="720">
        <f>IF(D1219="","-",+C1265+1)</f>
        <v>2056</v>
      </c>
      <c r="D1266" s="673">
        <f t="shared" si="118"/>
        <v>278102.32636363781</v>
      </c>
      <c r="E1266" s="726">
        <f t="shared" si="119"/>
        <v>69525.581590909089</v>
      </c>
      <c r="F1266" s="726">
        <f t="shared" si="112"/>
        <v>208576.74477272871</v>
      </c>
      <c r="G1266" s="673">
        <f t="shared" si="113"/>
        <v>243339.53556818326</v>
      </c>
      <c r="H1266" s="721">
        <f>+J1220*G1266+E1266</f>
        <v>106856.91743657869</v>
      </c>
      <c r="I1266" s="727">
        <f>+J1221*G1266+E1266</f>
        <v>106856.91743657869</v>
      </c>
      <c r="J1266" s="724">
        <f t="shared" si="114"/>
        <v>0</v>
      </c>
      <c r="K1266" s="724"/>
      <c r="L1266" s="728"/>
      <c r="M1266" s="724">
        <f t="shared" si="115"/>
        <v>0</v>
      </c>
      <c r="N1266" s="728"/>
      <c r="O1266" s="724">
        <f t="shared" si="116"/>
        <v>0</v>
      </c>
      <c r="P1266" s="724">
        <f t="shared" si="117"/>
        <v>0</v>
      </c>
      <c r="Q1266" s="674"/>
    </row>
    <row r="1267" spans="2:17">
      <c r="B1267" s="330"/>
      <c r="C1267" s="720">
        <f>IF(D1219="","-",+C1266+1)</f>
        <v>2057</v>
      </c>
      <c r="D1267" s="673">
        <f t="shared" si="118"/>
        <v>208576.74477272871</v>
      </c>
      <c r="E1267" s="726">
        <f t="shared" si="119"/>
        <v>69525.581590909089</v>
      </c>
      <c r="F1267" s="726">
        <f t="shared" si="112"/>
        <v>139051.1631818196</v>
      </c>
      <c r="G1267" s="673">
        <f t="shared" si="113"/>
        <v>173813.95397727416</v>
      </c>
      <c r="H1267" s="721">
        <f>+J1220*G1267+E1267</f>
        <v>96190.821480673156</v>
      </c>
      <c r="I1267" s="727">
        <f>+J1221*G1267+E1267</f>
        <v>96190.821480673156</v>
      </c>
      <c r="J1267" s="724">
        <f t="shared" si="114"/>
        <v>0</v>
      </c>
      <c r="K1267" s="724"/>
      <c r="L1267" s="728"/>
      <c r="M1267" s="724">
        <f t="shared" si="115"/>
        <v>0</v>
      </c>
      <c r="N1267" s="728"/>
      <c r="O1267" s="724">
        <f t="shared" si="116"/>
        <v>0</v>
      </c>
      <c r="P1267" s="724">
        <f t="shared" si="117"/>
        <v>0</v>
      </c>
      <c r="Q1267" s="674"/>
    </row>
    <row r="1268" spans="2:17">
      <c r="B1268" s="330"/>
      <c r="C1268" s="720">
        <f>IF(D1219="","-",+C1267+1)</f>
        <v>2058</v>
      </c>
      <c r="D1268" s="673">
        <f t="shared" si="118"/>
        <v>139051.1631818196</v>
      </c>
      <c r="E1268" s="726">
        <f t="shared" si="119"/>
        <v>69525.581590909089</v>
      </c>
      <c r="F1268" s="726">
        <f t="shared" si="112"/>
        <v>69525.581590910515</v>
      </c>
      <c r="G1268" s="673">
        <f t="shared" si="113"/>
        <v>104288.37238636505</v>
      </c>
      <c r="H1268" s="721">
        <f>+J1220*G1268+E1268</f>
        <v>85524.725524767608</v>
      </c>
      <c r="I1268" s="727">
        <f>+J1221*G1268+E1268</f>
        <v>85524.725524767608</v>
      </c>
      <c r="J1268" s="724">
        <f t="shared" si="114"/>
        <v>0</v>
      </c>
      <c r="K1268" s="724"/>
      <c r="L1268" s="728"/>
      <c r="M1268" s="724">
        <f t="shared" si="115"/>
        <v>0</v>
      </c>
      <c r="N1268" s="728"/>
      <c r="O1268" s="724">
        <f t="shared" si="116"/>
        <v>0</v>
      </c>
      <c r="P1268" s="724">
        <f t="shared" si="117"/>
        <v>0</v>
      </c>
      <c r="Q1268" s="674"/>
    </row>
    <row r="1269" spans="2:17">
      <c r="B1269" s="330"/>
      <c r="C1269" s="720">
        <f>IF(D1219="","-",+C1268+1)</f>
        <v>2059</v>
      </c>
      <c r="D1269" s="673">
        <f t="shared" si="118"/>
        <v>69525.581590910515</v>
      </c>
      <c r="E1269" s="726">
        <f t="shared" si="119"/>
        <v>69525.581590909089</v>
      </c>
      <c r="F1269" s="726">
        <f t="shared" si="112"/>
        <v>1.4260876923799515E-9</v>
      </c>
      <c r="G1269" s="673">
        <f t="shared" si="113"/>
        <v>34762.790795455971</v>
      </c>
      <c r="H1269" s="721">
        <f>+J1220*G1269+E1269</f>
        <v>74858.629568862074</v>
      </c>
      <c r="I1269" s="727">
        <f>+J1221*G1269+E1269</f>
        <v>74858.629568862074</v>
      </c>
      <c r="J1269" s="724">
        <f t="shared" si="114"/>
        <v>0</v>
      </c>
      <c r="K1269" s="724"/>
      <c r="L1269" s="728"/>
      <c r="M1269" s="724">
        <f t="shared" si="115"/>
        <v>0</v>
      </c>
      <c r="N1269" s="728"/>
      <c r="O1269" s="724">
        <f t="shared" si="116"/>
        <v>0</v>
      </c>
      <c r="P1269" s="724">
        <f t="shared" si="117"/>
        <v>0</v>
      </c>
      <c r="Q1269" s="674"/>
    </row>
    <row r="1270" spans="2:17">
      <c r="B1270" s="330"/>
      <c r="C1270" s="720">
        <f>IF(D1219="","-",+C1269+1)</f>
        <v>2060</v>
      </c>
      <c r="D1270" s="673">
        <f t="shared" si="118"/>
        <v>1.4260876923799515E-9</v>
      </c>
      <c r="E1270" s="726">
        <f t="shared" si="119"/>
        <v>1.4260876923799515E-9</v>
      </c>
      <c r="F1270" s="726">
        <f t="shared" si="112"/>
        <v>0</v>
      </c>
      <c r="G1270" s="673">
        <f t="shared" si="113"/>
        <v>7.1304384618997574E-10</v>
      </c>
      <c r="H1270" s="721">
        <f>+J1220*G1270+E1270</f>
        <v>1.5354775588176122E-9</v>
      </c>
      <c r="I1270" s="727">
        <f>+J1221*G1270+E1270</f>
        <v>1.5354775588176122E-9</v>
      </c>
      <c r="J1270" s="724">
        <f t="shared" si="114"/>
        <v>0</v>
      </c>
      <c r="K1270" s="724"/>
      <c r="L1270" s="728"/>
      <c r="M1270" s="724">
        <f t="shared" si="115"/>
        <v>0</v>
      </c>
      <c r="N1270" s="728"/>
      <c r="O1270" s="724">
        <f t="shared" si="116"/>
        <v>0</v>
      </c>
      <c r="P1270" s="724">
        <f t="shared" si="117"/>
        <v>0</v>
      </c>
      <c r="Q1270" s="674"/>
    </row>
    <row r="1271" spans="2:17">
      <c r="B1271" s="330"/>
      <c r="C1271" s="720">
        <f>IF(D1219="","-",+C1270+1)</f>
        <v>2061</v>
      </c>
      <c r="D1271" s="673">
        <f t="shared" si="118"/>
        <v>0</v>
      </c>
      <c r="E1271" s="726">
        <f t="shared" si="119"/>
        <v>0</v>
      </c>
      <c r="F1271" s="726">
        <f t="shared" si="112"/>
        <v>0</v>
      </c>
      <c r="G1271" s="673">
        <f t="shared" si="113"/>
        <v>0</v>
      </c>
      <c r="H1271" s="721">
        <f>+J1220*G1271+E1271</f>
        <v>0</v>
      </c>
      <c r="I1271" s="727">
        <f>+J1221*G1271+E1271</f>
        <v>0</v>
      </c>
      <c r="J1271" s="724">
        <f t="shared" si="114"/>
        <v>0</v>
      </c>
      <c r="K1271" s="724"/>
      <c r="L1271" s="728"/>
      <c r="M1271" s="724">
        <f t="shared" si="115"/>
        <v>0</v>
      </c>
      <c r="N1271" s="728"/>
      <c r="O1271" s="724">
        <f t="shared" si="116"/>
        <v>0</v>
      </c>
      <c r="P1271" s="724">
        <f t="shared" si="117"/>
        <v>0</v>
      </c>
      <c r="Q1271" s="674"/>
    </row>
    <row r="1272" spans="2:17">
      <c r="B1272" s="330"/>
      <c r="C1272" s="720">
        <f>IF(D1219="","-",+C1271+1)</f>
        <v>2062</v>
      </c>
      <c r="D1272" s="673">
        <f t="shared" si="118"/>
        <v>0</v>
      </c>
      <c r="E1272" s="726">
        <f t="shared" si="119"/>
        <v>0</v>
      </c>
      <c r="F1272" s="726">
        <f t="shared" si="112"/>
        <v>0</v>
      </c>
      <c r="G1272" s="673">
        <f t="shared" si="113"/>
        <v>0</v>
      </c>
      <c r="H1272" s="721">
        <f>+J1220*G1272+E1272</f>
        <v>0</v>
      </c>
      <c r="I1272" s="727">
        <f>+J1221*G1272+E1272</f>
        <v>0</v>
      </c>
      <c r="J1272" s="724">
        <f t="shared" si="114"/>
        <v>0</v>
      </c>
      <c r="K1272" s="724"/>
      <c r="L1272" s="728"/>
      <c r="M1272" s="724">
        <f t="shared" si="115"/>
        <v>0</v>
      </c>
      <c r="N1272" s="728"/>
      <c r="O1272" s="724">
        <f t="shared" si="116"/>
        <v>0</v>
      </c>
      <c r="P1272" s="724">
        <f t="shared" si="117"/>
        <v>0</v>
      </c>
      <c r="Q1272" s="674"/>
    </row>
    <row r="1273" spans="2:17">
      <c r="B1273" s="330"/>
      <c r="C1273" s="720">
        <f>IF(D1219="","-",+C1272+1)</f>
        <v>2063</v>
      </c>
      <c r="D1273" s="673">
        <f t="shared" si="118"/>
        <v>0</v>
      </c>
      <c r="E1273" s="726">
        <f t="shared" si="119"/>
        <v>0</v>
      </c>
      <c r="F1273" s="726">
        <f t="shared" si="112"/>
        <v>0</v>
      </c>
      <c r="G1273" s="673">
        <f t="shared" si="113"/>
        <v>0</v>
      </c>
      <c r="H1273" s="721">
        <f>+J1220*G1273+E1273</f>
        <v>0</v>
      </c>
      <c r="I1273" s="727">
        <f>+J1221*G1273+E1273</f>
        <v>0</v>
      </c>
      <c r="J1273" s="724">
        <f t="shared" si="114"/>
        <v>0</v>
      </c>
      <c r="K1273" s="724"/>
      <c r="L1273" s="728"/>
      <c r="M1273" s="724">
        <f t="shared" si="115"/>
        <v>0</v>
      </c>
      <c r="N1273" s="728"/>
      <c r="O1273" s="724">
        <f t="shared" si="116"/>
        <v>0</v>
      </c>
      <c r="P1273" s="724">
        <f t="shared" si="117"/>
        <v>0</v>
      </c>
      <c r="Q1273" s="674"/>
    </row>
    <row r="1274" spans="2:17">
      <c r="B1274" s="330"/>
      <c r="C1274" s="720">
        <f>IF(D1219="","-",+C1273+1)</f>
        <v>2064</v>
      </c>
      <c r="D1274" s="673">
        <f t="shared" si="118"/>
        <v>0</v>
      </c>
      <c r="E1274" s="726">
        <f t="shared" si="119"/>
        <v>0</v>
      </c>
      <c r="F1274" s="726">
        <f t="shared" si="112"/>
        <v>0</v>
      </c>
      <c r="G1274" s="673">
        <f t="shared" si="113"/>
        <v>0</v>
      </c>
      <c r="H1274" s="721">
        <f>+J1220*G1274+E1274</f>
        <v>0</v>
      </c>
      <c r="I1274" s="727">
        <f>+J1221*G1274+E1274</f>
        <v>0</v>
      </c>
      <c r="J1274" s="724">
        <f t="shared" si="114"/>
        <v>0</v>
      </c>
      <c r="K1274" s="724"/>
      <c r="L1274" s="728"/>
      <c r="M1274" s="724">
        <f t="shared" si="115"/>
        <v>0</v>
      </c>
      <c r="N1274" s="728"/>
      <c r="O1274" s="724">
        <f t="shared" si="116"/>
        <v>0</v>
      </c>
      <c r="P1274" s="724">
        <f t="shared" si="117"/>
        <v>0</v>
      </c>
      <c r="Q1274" s="674"/>
    </row>
    <row r="1275" spans="2:17">
      <c r="B1275" s="330"/>
      <c r="C1275" s="720">
        <f>IF(D1219="","-",+C1274+1)</f>
        <v>2065</v>
      </c>
      <c r="D1275" s="673">
        <f t="shared" si="118"/>
        <v>0</v>
      </c>
      <c r="E1275" s="726">
        <f t="shared" si="119"/>
        <v>0</v>
      </c>
      <c r="F1275" s="726">
        <f t="shared" si="112"/>
        <v>0</v>
      </c>
      <c r="G1275" s="673">
        <f t="shared" si="113"/>
        <v>0</v>
      </c>
      <c r="H1275" s="721">
        <f>+J1220*G1275+E1275</f>
        <v>0</v>
      </c>
      <c r="I1275" s="727">
        <f>+J1221*G1275+E1275</f>
        <v>0</v>
      </c>
      <c r="J1275" s="724">
        <f t="shared" si="114"/>
        <v>0</v>
      </c>
      <c r="K1275" s="724"/>
      <c r="L1275" s="728"/>
      <c r="M1275" s="724">
        <f t="shared" si="115"/>
        <v>0</v>
      </c>
      <c r="N1275" s="728"/>
      <c r="O1275" s="724">
        <f t="shared" si="116"/>
        <v>0</v>
      </c>
      <c r="P1275" s="724">
        <f t="shared" si="117"/>
        <v>0</v>
      </c>
      <c r="Q1275" s="674"/>
    </row>
    <row r="1276" spans="2:17">
      <c r="B1276" s="330"/>
      <c r="C1276" s="720">
        <f>IF(D1219="","-",+C1275+1)</f>
        <v>2066</v>
      </c>
      <c r="D1276" s="673">
        <f t="shared" si="118"/>
        <v>0</v>
      </c>
      <c r="E1276" s="726">
        <f t="shared" si="119"/>
        <v>0</v>
      </c>
      <c r="F1276" s="726">
        <f t="shared" si="112"/>
        <v>0</v>
      </c>
      <c r="G1276" s="673">
        <f t="shared" si="113"/>
        <v>0</v>
      </c>
      <c r="H1276" s="721">
        <f>+J1220*G1276+E1276</f>
        <v>0</v>
      </c>
      <c r="I1276" s="727">
        <f>+J1221*G1276+E1276</f>
        <v>0</v>
      </c>
      <c r="J1276" s="724">
        <f t="shared" si="114"/>
        <v>0</v>
      </c>
      <c r="K1276" s="724"/>
      <c r="L1276" s="728"/>
      <c r="M1276" s="724">
        <f t="shared" si="115"/>
        <v>0</v>
      </c>
      <c r="N1276" s="728"/>
      <c r="O1276" s="724">
        <f t="shared" si="116"/>
        <v>0</v>
      </c>
      <c r="P1276" s="724">
        <f t="shared" si="117"/>
        <v>0</v>
      </c>
      <c r="Q1276" s="674"/>
    </row>
    <row r="1277" spans="2:17">
      <c r="B1277" s="330"/>
      <c r="C1277" s="720">
        <f>IF(D1219="","-",+C1276+1)</f>
        <v>2067</v>
      </c>
      <c r="D1277" s="673">
        <f t="shared" si="118"/>
        <v>0</v>
      </c>
      <c r="E1277" s="726">
        <f t="shared" si="119"/>
        <v>0</v>
      </c>
      <c r="F1277" s="726">
        <f t="shared" si="112"/>
        <v>0</v>
      </c>
      <c r="G1277" s="673">
        <f t="shared" si="113"/>
        <v>0</v>
      </c>
      <c r="H1277" s="721">
        <f>+J1220*G1277+E1277</f>
        <v>0</v>
      </c>
      <c r="I1277" s="727">
        <f>+J1221*G1277+E1277</f>
        <v>0</v>
      </c>
      <c r="J1277" s="724">
        <f t="shared" si="114"/>
        <v>0</v>
      </c>
      <c r="K1277" s="724"/>
      <c r="L1277" s="728"/>
      <c r="M1277" s="724">
        <f t="shared" si="115"/>
        <v>0</v>
      </c>
      <c r="N1277" s="728"/>
      <c r="O1277" s="724">
        <f t="shared" si="116"/>
        <v>0</v>
      </c>
      <c r="P1277" s="724">
        <f t="shared" si="117"/>
        <v>0</v>
      </c>
      <c r="Q1277" s="674"/>
    </row>
    <row r="1278" spans="2:17">
      <c r="B1278" s="330"/>
      <c r="C1278" s="720">
        <f>IF(D1219="","-",+C1277+1)</f>
        <v>2068</v>
      </c>
      <c r="D1278" s="673">
        <f t="shared" si="118"/>
        <v>0</v>
      </c>
      <c r="E1278" s="726">
        <f t="shared" si="119"/>
        <v>0</v>
      </c>
      <c r="F1278" s="726">
        <f t="shared" si="112"/>
        <v>0</v>
      </c>
      <c r="G1278" s="673">
        <f t="shared" si="113"/>
        <v>0</v>
      </c>
      <c r="H1278" s="721">
        <f>+J1220*G1278+E1278</f>
        <v>0</v>
      </c>
      <c r="I1278" s="727">
        <f>+J1221*G1278+E1278</f>
        <v>0</v>
      </c>
      <c r="J1278" s="724">
        <f t="shared" si="114"/>
        <v>0</v>
      </c>
      <c r="K1278" s="724"/>
      <c r="L1278" s="728"/>
      <c r="M1278" s="724">
        <f t="shared" si="115"/>
        <v>0</v>
      </c>
      <c r="N1278" s="728"/>
      <c r="O1278" s="724">
        <f t="shared" si="116"/>
        <v>0</v>
      </c>
      <c r="P1278" s="724">
        <f t="shared" si="117"/>
        <v>0</v>
      </c>
      <c r="Q1278" s="674"/>
    </row>
    <row r="1279" spans="2:17">
      <c r="B1279" s="330"/>
      <c r="C1279" s="720">
        <f>IF(D1219="","-",+C1278+1)</f>
        <v>2069</v>
      </c>
      <c r="D1279" s="673">
        <f t="shared" si="118"/>
        <v>0</v>
      </c>
      <c r="E1279" s="726">
        <f t="shared" si="119"/>
        <v>0</v>
      </c>
      <c r="F1279" s="726">
        <f t="shared" si="112"/>
        <v>0</v>
      </c>
      <c r="G1279" s="673">
        <f t="shared" si="113"/>
        <v>0</v>
      </c>
      <c r="H1279" s="721">
        <f>+J1220*G1279+E1279</f>
        <v>0</v>
      </c>
      <c r="I1279" s="727">
        <f>+J1221*G1279+E1279</f>
        <v>0</v>
      </c>
      <c r="J1279" s="724">
        <f t="shared" si="114"/>
        <v>0</v>
      </c>
      <c r="K1279" s="724"/>
      <c r="L1279" s="728"/>
      <c r="M1279" s="724">
        <f t="shared" si="115"/>
        <v>0</v>
      </c>
      <c r="N1279" s="728"/>
      <c r="O1279" s="724">
        <f t="shared" si="116"/>
        <v>0</v>
      </c>
      <c r="P1279" s="724">
        <f t="shared" si="117"/>
        <v>0</v>
      </c>
      <c r="Q1279" s="674"/>
    </row>
    <row r="1280" spans="2:17">
      <c r="B1280" s="330"/>
      <c r="C1280" s="720">
        <f>IF(D1219="","-",+C1279+1)</f>
        <v>2070</v>
      </c>
      <c r="D1280" s="673">
        <f t="shared" si="118"/>
        <v>0</v>
      </c>
      <c r="E1280" s="726">
        <f t="shared" si="119"/>
        <v>0</v>
      </c>
      <c r="F1280" s="726">
        <f t="shared" si="112"/>
        <v>0</v>
      </c>
      <c r="G1280" s="673">
        <f t="shared" si="113"/>
        <v>0</v>
      </c>
      <c r="H1280" s="721">
        <f>+J1220*G1280+E1280</f>
        <v>0</v>
      </c>
      <c r="I1280" s="727">
        <f>+J1221*G1280+E1280</f>
        <v>0</v>
      </c>
      <c r="J1280" s="724">
        <f t="shared" si="114"/>
        <v>0</v>
      </c>
      <c r="K1280" s="724"/>
      <c r="L1280" s="728"/>
      <c r="M1280" s="724">
        <f t="shared" si="115"/>
        <v>0</v>
      </c>
      <c r="N1280" s="728"/>
      <c r="O1280" s="724">
        <f t="shared" si="116"/>
        <v>0</v>
      </c>
      <c r="P1280" s="724">
        <f t="shared" si="117"/>
        <v>0</v>
      </c>
      <c r="Q1280" s="674"/>
    </row>
    <row r="1281" spans="1:17">
      <c r="B1281" s="330"/>
      <c r="C1281" s="720">
        <f>IF(D1219="","-",+C1280+1)</f>
        <v>2071</v>
      </c>
      <c r="D1281" s="673">
        <f t="shared" si="118"/>
        <v>0</v>
      </c>
      <c r="E1281" s="726">
        <f t="shared" si="119"/>
        <v>0</v>
      </c>
      <c r="F1281" s="726">
        <f t="shared" si="112"/>
        <v>0</v>
      </c>
      <c r="G1281" s="673">
        <f t="shared" si="113"/>
        <v>0</v>
      </c>
      <c r="H1281" s="721">
        <f>+J1220*G1281+E1281</f>
        <v>0</v>
      </c>
      <c r="I1281" s="727">
        <f>+J1221*G1281+E1281</f>
        <v>0</v>
      </c>
      <c r="J1281" s="724">
        <f t="shared" si="114"/>
        <v>0</v>
      </c>
      <c r="K1281" s="724"/>
      <c r="L1281" s="728"/>
      <c r="M1281" s="724">
        <f t="shared" si="115"/>
        <v>0</v>
      </c>
      <c r="N1281" s="728"/>
      <c r="O1281" s="724">
        <f t="shared" si="116"/>
        <v>0</v>
      </c>
      <c r="P1281" s="724">
        <f t="shared" si="117"/>
        <v>0</v>
      </c>
      <c r="Q1281" s="674"/>
    </row>
    <row r="1282" spans="1:17">
      <c r="B1282" s="330"/>
      <c r="C1282" s="720">
        <f>IF(D1219="","-",+C1281+1)</f>
        <v>2072</v>
      </c>
      <c r="D1282" s="673">
        <f t="shared" si="118"/>
        <v>0</v>
      </c>
      <c r="E1282" s="726">
        <f t="shared" si="119"/>
        <v>0</v>
      </c>
      <c r="F1282" s="726">
        <f t="shared" si="112"/>
        <v>0</v>
      </c>
      <c r="G1282" s="673">
        <f t="shared" si="113"/>
        <v>0</v>
      </c>
      <c r="H1282" s="721">
        <f>+J1220*G1282+E1282</f>
        <v>0</v>
      </c>
      <c r="I1282" s="727">
        <f>+J1221*G1282+E1282</f>
        <v>0</v>
      </c>
      <c r="J1282" s="724">
        <f t="shared" si="114"/>
        <v>0</v>
      </c>
      <c r="K1282" s="724"/>
      <c r="L1282" s="728"/>
      <c r="M1282" s="724">
        <f t="shared" si="115"/>
        <v>0</v>
      </c>
      <c r="N1282" s="728"/>
      <c r="O1282" s="724">
        <f t="shared" si="116"/>
        <v>0</v>
      </c>
      <c r="P1282" s="724">
        <f t="shared" si="117"/>
        <v>0</v>
      </c>
      <c r="Q1282" s="674"/>
    </row>
    <row r="1283" spans="1:17">
      <c r="B1283" s="330"/>
      <c r="C1283" s="720">
        <f>IF(D1219="","-",+C1282+1)</f>
        <v>2073</v>
      </c>
      <c r="D1283" s="673">
        <f t="shared" si="118"/>
        <v>0</v>
      </c>
      <c r="E1283" s="726">
        <f t="shared" si="119"/>
        <v>0</v>
      </c>
      <c r="F1283" s="726">
        <f t="shared" si="112"/>
        <v>0</v>
      </c>
      <c r="G1283" s="673">
        <f t="shared" si="113"/>
        <v>0</v>
      </c>
      <c r="H1283" s="721">
        <f>+J1220*G1283+E1283</f>
        <v>0</v>
      </c>
      <c r="I1283" s="727">
        <f>+J1221*G1283+E1283</f>
        <v>0</v>
      </c>
      <c r="J1283" s="724">
        <f t="shared" si="114"/>
        <v>0</v>
      </c>
      <c r="K1283" s="724"/>
      <c r="L1283" s="728"/>
      <c r="M1283" s="724">
        <f t="shared" si="115"/>
        <v>0</v>
      </c>
      <c r="N1283" s="728"/>
      <c r="O1283" s="724">
        <f t="shared" si="116"/>
        <v>0</v>
      </c>
      <c r="P1283" s="724">
        <f t="shared" si="117"/>
        <v>0</v>
      </c>
      <c r="Q1283" s="674"/>
    </row>
    <row r="1284" spans="1:17" ht="13.5" thickBot="1">
      <c r="B1284" s="330"/>
      <c r="C1284" s="730">
        <f>IF(D1219="","-",+C1283+1)</f>
        <v>2074</v>
      </c>
      <c r="D1284" s="731">
        <f t="shared" si="118"/>
        <v>0</v>
      </c>
      <c r="E1284" s="726">
        <f t="shared" si="119"/>
        <v>0</v>
      </c>
      <c r="F1284" s="732">
        <f t="shared" si="112"/>
        <v>0</v>
      </c>
      <c r="G1284" s="731">
        <f t="shared" si="113"/>
        <v>0</v>
      </c>
      <c r="H1284" s="733">
        <f>+J1220*G1284+E1284</f>
        <v>0</v>
      </c>
      <c r="I1284" s="733">
        <f>+J1221*G1284+E1284</f>
        <v>0</v>
      </c>
      <c r="J1284" s="734">
        <f t="shared" si="114"/>
        <v>0</v>
      </c>
      <c r="K1284" s="724"/>
      <c r="L1284" s="735"/>
      <c r="M1284" s="734">
        <f t="shared" si="115"/>
        <v>0</v>
      </c>
      <c r="N1284" s="735"/>
      <c r="O1284" s="734">
        <f t="shared" si="116"/>
        <v>0</v>
      </c>
      <c r="P1284" s="734">
        <f t="shared" si="117"/>
        <v>0</v>
      </c>
      <c r="Q1284" s="674"/>
    </row>
    <row r="1285" spans="1:17">
      <c r="B1285" s="330"/>
      <c r="C1285" s="673" t="s">
        <v>288</v>
      </c>
      <c r="D1285" s="669"/>
      <c r="E1285" s="669">
        <f>SUM(E1225:E1284)</f>
        <v>3059125.59</v>
      </c>
      <c r="F1285" s="669"/>
      <c r="G1285" s="669"/>
      <c r="H1285" s="669">
        <f>SUM(H1225:H1284)</f>
        <v>13853214.697376408</v>
      </c>
      <c r="I1285" s="669">
        <f>SUM(I1225:I1284)</f>
        <v>13853214.697376408</v>
      </c>
      <c r="J1285" s="669">
        <f>SUM(J1225:J1284)</f>
        <v>0</v>
      </c>
      <c r="K1285" s="669"/>
      <c r="L1285" s="669"/>
      <c r="M1285" s="669"/>
      <c r="N1285" s="669"/>
      <c r="O1285" s="669"/>
      <c r="Q1285" s="669"/>
    </row>
    <row r="1286" spans="1:17">
      <c r="B1286" s="330"/>
      <c r="D1286" s="563"/>
      <c r="E1286" s="542"/>
      <c r="F1286" s="542"/>
      <c r="G1286" s="542"/>
      <c r="H1286" s="542"/>
      <c r="I1286" s="646"/>
      <c r="J1286" s="646"/>
      <c r="K1286" s="669"/>
      <c r="L1286" s="646"/>
      <c r="M1286" s="646"/>
      <c r="N1286" s="646"/>
      <c r="O1286" s="646"/>
      <c r="Q1286" s="669"/>
    </row>
    <row r="1287" spans="1:17">
      <c r="B1287" s="330"/>
      <c r="C1287" s="542" t="s">
        <v>595</v>
      </c>
      <c r="D1287" s="563"/>
      <c r="E1287" s="542"/>
      <c r="F1287" s="542"/>
      <c r="G1287" s="542"/>
      <c r="H1287" s="542"/>
      <c r="I1287" s="646"/>
      <c r="J1287" s="646"/>
      <c r="K1287" s="669"/>
      <c r="L1287" s="646"/>
      <c r="M1287" s="646"/>
      <c r="N1287" s="646"/>
      <c r="O1287" s="646"/>
      <c r="Q1287" s="669"/>
    </row>
    <row r="1288" spans="1:17">
      <c r="B1288" s="330"/>
      <c r="D1288" s="563"/>
      <c r="E1288" s="542"/>
      <c r="F1288" s="542"/>
      <c r="G1288" s="542"/>
      <c r="H1288" s="542"/>
      <c r="I1288" s="646"/>
      <c r="J1288" s="646"/>
      <c r="K1288" s="669"/>
      <c r="L1288" s="646"/>
      <c r="M1288" s="646"/>
      <c r="N1288" s="646"/>
      <c r="O1288" s="646"/>
      <c r="Q1288" s="669"/>
    </row>
    <row r="1289" spans="1:17">
      <c r="B1289" s="330"/>
      <c r="C1289" s="576" t="s">
        <v>596</v>
      </c>
      <c r="D1289" s="673"/>
      <c r="E1289" s="673"/>
      <c r="F1289" s="673"/>
      <c r="G1289" s="673"/>
      <c r="H1289" s="669"/>
      <c r="I1289" s="669"/>
      <c r="J1289" s="674"/>
      <c r="K1289" s="674"/>
      <c r="L1289" s="674"/>
      <c r="M1289" s="674"/>
      <c r="N1289" s="674"/>
      <c r="O1289" s="674"/>
      <c r="Q1289" s="674"/>
    </row>
    <row r="1290" spans="1:17">
      <c r="B1290" s="330"/>
      <c r="C1290" s="576" t="s">
        <v>476</v>
      </c>
      <c r="D1290" s="673"/>
      <c r="E1290" s="673"/>
      <c r="F1290" s="673"/>
      <c r="G1290" s="673"/>
      <c r="H1290" s="669"/>
      <c r="I1290" s="669"/>
      <c r="J1290" s="674"/>
      <c r="K1290" s="674"/>
      <c r="L1290" s="674"/>
      <c r="M1290" s="674"/>
      <c r="N1290" s="674"/>
      <c r="O1290" s="674"/>
      <c r="Q1290" s="674"/>
    </row>
    <row r="1291" spans="1:17">
      <c r="B1291" s="330"/>
      <c r="C1291" s="576" t="s">
        <v>289</v>
      </c>
      <c r="D1291" s="673"/>
      <c r="E1291" s="673"/>
      <c r="F1291" s="673"/>
      <c r="G1291" s="673"/>
      <c r="H1291" s="669"/>
      <c r="I1291" s="669"/>
      <c r="J1291" s="674"/>
      <c r="K1291" s="674"/>
      <c r="L1291" s="674"/>
      <c r="M1291" s="674"/>
      <c r="N1291" s="674"/>
      <c r="O1291" s="674"/>
      <c r="Q1291" s="674"/>
    </row>
    <row r="1292" spans="1:17" ht="20.25">
      <c r="A1292" s="675" t="s">
        <v>764</v>
      </c>
      <c r="B1292" s="542"/>
      <c r="C1292" s="655"/>
      <c r="D1292" s="563"/>
      <c r="E1292" s="542"/>
      <c r="F1292" s="645"/>
      <c r="G1292" s="645"/>
      <c r="H1292" s="542"/>
      <c r="I1292" s="646"/>
      <c r="L1292" s="676"/>
      <c r="M1292" s="676"/>
      <c r="N1292" s="676"/>
      <c r="O1292" s="591" t="str">
        <f>"Page "&amp;SUM(Q$3:Q1292)&amp;" of "</f>
        <v xml:space="preserve">Page 16 of </v>
      </c>
      <c r="P1292" s="592">
        <f>COUNT(Q$8:Q$58212)</f>
        <v>23</v>
      </c>
      <c r="Q1292" s="756">
        <v>1</v>
      </c>
    </row>
    <row r="1293" spans="1:17">
      <c r="B1293" s="542"/>
      <c r="C1293" s="542"/>
      <c r="D1293" s="563"/>
      <c r="E1293" s="542"/>
      <c r="F1293" s="542"/>
      <c r="G1293" s="542"/>
      <c r="H1293" s="542"/>
      <c r="I1293" s="646"/>
      <c r="J1293" s="542"/>
      <c r="K1293" s="588"/>
      <c r="Q1293" s="588"/>
    </row>
    <row r="1294" spans="1:17" ht="18">
      <c r="B1294" s="595" t="s">
        <v>174</v>
      </c>
      <c r="C1294" s="677" t="s">
        <v>290</v>
      </c>
      <c r="D1294" s="563"/>
      <c r="E1294" s="542"/>
      <c r="F1294" s="542"/>
      <c r="G1294" s="542"/>
      <c r="H1294" s="542"/>
      <c r="I1294" s="646"/>
      <c r="J1294" s="646"/>
      <c r="K1294" s="669"/>
      <c r="L1294" s="646"/>
      <c r="M1294" s="646"/>
      <c r="N1294" s="646"/>
      <c r="O1294" s="646"/>
      <c r="Q1294" s="669"/>
    </row>
    <row r="1295" spans="1:17" ht="18.75">
      <c r="B1295" s="595"/>
      <c r="C1295" s="594"/>
      <c r="D1295" s="563"/>
      <c r="E1295" s="542"/>
      <c r="F1295" s="542"/>
      <c r="G1295" s="542"/>
      <c r="H1295" s="542"/>
      <c r="I1295" s="646"/>
      <c r="J1295" s="646"/>
      <c r="K1295" s="669"/>
      <c r="L1295" s="646"/>
      <c r="M1295" s="646"/>
      <c r="N1295" s="646"/>
      <c r="O1295" s="646"/>
      <c r="Q1295" s="669"/>
    </row>
    <row r="1296" spans="1:17" ht="18.75">
      <c r="B1296" s="595"/>
      <c r="C1296" s="594" t="s">
        <v>291</v>
      </c>
      <c r="D1296" s="563"/>
      <c r="E1296" s="542"/>
      <c r="F1296" s="542"/>
      <c r="G1296" s="542"/>
      <c r="H1296" s="542"/>
      <c r="I1296" s="646"/>
      <c r="J1296" s="646"/>
      <c r="K1296" s="669"/>
      <c r="L1296" s="646"/>
      <c r="M1296" s="646"/>
      <c r="N1296" s="646"/>
      <c r="O1296" s="646"/>
      <c r="Q1296" s="669"/>
    </row>
    <row r="1297" spans="1:17" ht="15.75" thickBot="1">
      <c r="B1297" s="330"/>
      <c r="C1297" s="396"/>
      <c r="D1297" s="563"/>
      <c r="E1297" s="542"/>
      <c r="F1297" s="542"/>
      <c r="G1297" s="542"/>
      <c r="H1297" s="542"/>
      <c r="I1297" s="646"/>
      <c r="J1297" s="646"/>
      <c r="K1297" s="669"/>
      <c r="L1297" s="646"/>
      <c r="M1297" s="646"/>
      <c r="N1297" s="646"/>
      <c r="O1297" s="646"/>
      <c r="Q1297" s="669"/>
    </row>
    <row r="1298" spans="1:17" ht="15.75">
      <c r="B1298" s="330"/>
      <c r="C1298" s="596" t="s">
        <v>292</v>
      </c>
      <c r="D1298" s="563"/>
      <c r="E1298" s="542"/>
      <c r="F1298" s="542"/>
      <c r="G1298" s="542"/>
      <c r="H1298" s="864"/>
      <c r="I1298" s="542" t="s">
        <v>271</v>
      </c>
      <c r="J1298" s="542"/>
      <c r="K1298" s="588"/>
      <c r="L1298" s="757">
        <f>+J1304</f>
        <v>2021</v>
      </c>
      <c r="M1298" s="739" t="s">
        <v>254</v>
      </c>
      <c r="N1298" s="739" t="s">
        <v>255</v>
      </c>
      <c r="O1298" s="740" t="s">
        <v>256</v>
      </c>
      <c r="Q1298" s="588"/>
    </row>
    <row r="1299" spans="1:17" ht="15.75">
      <c r="B1299" s="330"/>
      <c r="C1299" s="596"/>
      <c r="D1299" s="563"/>
      <c r="E1299" s="542"/>
      <c r="F1299" s="542"/>
      <c r="H1299" s="542"/>
      <c r="I1299" s="681"/>
      <c r="J1299" s="681"/>
      <c r="K1299" s="682"/>
      <c r="L1299" s="758" t="s">
        <v>455</v>
      </c>
      <c r="M1299" s="759">
        <f>VLOOKUP(J1304,C1311:P1370,10)</f>
        <v>321383.23908881261</v>
      </c>
      <c r="N1299" s="759">
        <f>VLOOKUP(J1304,C1311:P1370,12)</f>
        <v>321383.23908881261</v>
      </c>
      <c r="O1299" s="760">
        <f>+N1299-M1299</f>
        <v>0</v>
      </c>
      <c r="Q1299" s="682"/>
    </row>
    <row r="1300" spans="1:17">
      <c r="B1300" s="330"/>
      <c r="C1300" s="684" t="s">
        <v>293</v>
      </c>
      <c r="D1300" s="1703" t="s">
        <v>948</v>
      </c>
      <c r="E1300" s="1703"/>
      <c r="F1300" s="1703"/>
      <c r="G1300" s="1703"/>
      <c r="H1300" s="1703"/>
      <c r="I1300" s="1703"/>
      <c r="J1300" s="646"/>
      <c r="K1300" s="669"/>
      <c r="L1300" s="758" t="s">
        <v>456</v>
      </c>
      <c r="M1300" s="761">
        <f>VLOOKUP(J1304,C1311:P1370,6)</f>
        <v>340481.84631940065</v>
      </c>
      <c r="N1300" s="761">
        <f>VLOOKUP(J1304,C1311:P1370,7)</f>
        <v>340481.84631940065</v>
      </c>
      <c r="O1300" s="762">
        <f>+N1300-M1300</f>
        <v>0</v>
      </c>
      <c r="Q1300" s="669"/>
    </row>
    <row r="1301" spans="1:17" ht="13.5" thickBot="1">
      <c r="B1301" s="330"/>
      <c r="C1301" s="686"/>
      <c r="D1301" s="1703" t="s">
        <v>114</v>
      </c>
      <c r="E1301" s="1703"/>
      <c r="F1301" s="1703"/>
      <c r="G1301" s="1703"/>
      <c r="H1301" s="1703"/>
      <c r="I1301" s="1703"/>
      <c r="J1301" s="646"/>
      <c r="K1301" s="669"/>
      <c r="L1301" s="705" t="s">
        <v>457</v>
      </c>
      <c r="M1301" s="763">
        <f>+M1300-M1299</f>
        <v>19098.607230588037</v>
      </c>
      <c r="N1301" s="763">
        <f>+N1300-N1299</f>
        <v>19098.607230588037</v>
      </c>
      <c r="O1301" s="764">
        <f>+O1300-O1299</f>
        <v>0</v>
      </c>
      <c r="Q1301" s="669"/>
    </row>
    <row r="1302" spans="1:17" ht="13.5" thickBot="1">
      <c r="B1302" s="330"/>
      <c r="C1302" s="689"/>
      <c r="D1302" s="690"/>
      <c r="E1302" s="688"/>
      <c r="F1302" s="688"/>
      <c r="G1302" s="688"/>
      <c r="H1302" s="688"/>
      <c r="I1302" s="688"/>
      <c r="J1302" s="688"/>
      <c r="K1302" s="691"/>
      <c r="L1302" s="688"/>
      <c r="M1302" s="688"/>
      <c r="N1302" s="688"/>
      <c r="O1302" s="688"/>
      <c r="P1302" s="576"/>
      <c r="Q1302" s="691"/>
    </row>
    <row r="1303" spans="1:17" ht="13.5" thickBot="1">
      <c r="B1303" s="330"/>
      <c r="C1303" s="692" t="s">
        <v>294</v>
      </c>
      <c r="D1303" s="693"/>
      <c r="E1303" s="693"/>
      <c r="F1303" s="693"/>
      <c r="G1303" s="693"/>
      <c r="H1303" s="693"/>
      <c r="I1303" s="693"/>
      <c r="J1303" s="693"/>
      <c r="K1303" s="695"/>
      <c r="P1303" s="696"/>
      <c r="Q1303" s="695"/>
    </row>
    <row r="1304" spans="1:17" ht="15">
      <c r="A1304" s="1310"/>
      <c r="B1304" s="330"/>
      <c r="C1304" s="697" t="s">
        <v>272</v>
      </c>
      <c r="D1304" s="1253">
        <v>2169182.02</v>
      </c>
      <c r="E1304" s="655" t="s">
        <v>273</v>
      </c>
      <c r="H1304" s="698"/>
      <c r="I1304" s="698"/>
      <c r="J1304" s="1451">
        <f>$J$95</f>
        <v>2021</v>
      </c>
      <c r="K1304" s="586"/>
      <c r="L1304" s="1717" t="s">
        <v>274</v>
      </c>
      <c r="M1304" s="1717"/>
      <c r="N1304" s="1717"/>
      <c r="O1304" s="1717"/>
      <c r="P1304" s="588"/>
      <c r="Q1304" s="586"/>
    </row>
    <row r="1305" spans="1:17">
      <c r="A1305" s="1310"/>
      <c r="B1305" s="330"/>
      <c r="C1305" s="697" t="s">
        <v>275</v>
      </c>
      <c r="D1305" s="865">
        <v>2015</v>
      </c>
      <c r="E1305" s="697" t="s">
        <v>276</v>
      </c>
      <c r="F1305" s="698"/>
      <c r="G1305" s="698"/>
      <c r="I1305" s="330"/>
      <c r="J1305" s="867">
        <v>0</v>
      </c>
      <c r="K1305" s="700"/>
      <c r="L1305" s="669" t="s">
        <v>475</v>
      </c>
      <c r="P1305" s="588"/>
      <c r="Q1305" s="700"/>
    </row>
    <row r="1306" spans="1:17">
      <c r="A1306" s="1310"/>
      <c r="B1306" s="330"/>
      <c r="C1306" s="697" t="s">
        <v>277</v>
      </c>
      <c r="D1306" s="1253">
        <v>12</v>
      </c>
      <c r="E1306" s="697" t="s">
        <v>278</v>
      </c>
      <c r="F1306" s="698"/>
      <c r="G1306" s="698"/>
      <c r="I1306" s="330"/>
      <c r="J1306" s="701">
        <f>$F$70</f>
        <v>0.15341253840442806</v>
      </c>
      <c r="K1306" s="702"/>
      <c r="L1306" s="542" t="str">
        <f>"          INPUT TRUE-UP ARR (WITH &amp; WITHOUT INCENTIVES) FROM EACH PRIOR YEAR"</f>
        <v xml:space="preserve">          INPUT TRUE-UP ARR (WITH &amp; WITHOUT INCENTIVES) FROM EACH PRIOR YEAR</v>
      </c>
      <c r="P1306" s="588"/>
      <c r="Q1306" s="702"/>
    </row>
    <row r="1307" spans="1:17">
      <c r="A1307" s="1310"/>
      <c r="B1307" s="330"/>
      <c r="C1307" s="697" t="s">
        <v>279</v>
      </c>
      <c r="D1307" s="703">
        <f>H79</f>
        <v>44</v>
      </c>
      <c r="E1307" s="697" t="s">
        <v>280</v>
      </c>
      <c r="F1307" s="698"/>
      <c r="G1307" s="698"/>
      <c r="I1307" s="330"/>
      <c r="J1307" s="701">
        <f>IF(H1298="",J1306,$F$69)</f>
        <v>0.15341253840442806</v>
      </c>
      <c r="K1307" s="704"/>
      <c r="L1307" s="542" t="s">
        <v>362</v>
      </c>
      <c r="M1307" s="704"/>
      <c r="N1307" s="704"/>
      <c r="O1307" s="704"/>
      <c r="P1307" s="588"/>
      <c r="Q1307" s="704"/>
    </row>
    <row r="1308" spans="1:17" ht="13.5" thickBot="1">
      <c r="A1308" s="1310"/>
      <c r="B1308" s="330"/>
      <c r="C1308" s="697" t="s">
        <v>281</v>
      </c>
      <c r="D1308" s="866" t="s">
        <v>933</v>
      </c>
      <c r="E1308" s="705" t="s">
        <v>282</v>
      </c>
      <c r="F1308" s="706"/>
      <c r="G1308" s="706"/>
      <c r="H1308" s="707"/>
      <c r="I1308" s="707"/>
      <c r="J1308" s="685">
        <f>IF(D1304=0,0,D1304/D1307)</f>
        <v>49299.591363636362</v>
      </c>
      <c r="K1308" s="669"/>
      <c r="L1308" s="669" t="s">
        <v>363</v>
      </c>
      <c r="M1308" s="669"/>
      <c r="N1308" s="669"/>
      <c r="O1308" s="669"/>
      <c r="P1308" s="588"/>
      <c r="Q1308" s="669"/>
    </row>
    <row r="1309" spans="1:17" ht="38.25">
      <c r="A1309" s="529"/>
      <c r="B1309" s="529"/>
      <c r="C1309" s="708" t="s">
        <v>272</v>
      </c>
      <c r="D1309" s="709" t="s">
        <v>283</v>
      </c>
      <c r="E1309" s="710" t="s">
        <v>284</v>
      </c>
      <c r="F1309" s="709" t="s">
        <v>285</v>
      </c>
      <c r="G1309" s="709" t="s">
        <v>458</v>
      </c>
      <c r="H1309" s="710" t="s">
        <v>356</v>
      </c>
      <c r="I1309" s="711" t="s">
        <v>356</v>
      </c>
      <c r="J1309" s="708" t="s">
        <v>295</v>
      </c>
      <c r="K1309" s="712"/>
      <c r="L1309" s="710" t="s">
        <v>358</v>
      </c>
      <c r="M1309" s="710" t="s">
        <v>364</v>
      </c>
      <c r="N1309" s="710" t="s">
        <v>358</v>
      </c>
      <c r="O1309" s="710" t="s">
        <v>366</v>
      </c>
      <c r="P1309" s="710" t="s">
        <v>286</v>
      </c>
      <c r="Q1309" s="713"/>
    </row>
    <row r="1310" spans="1:17" ht="13.5" thickBot="1">
      <c r="B1310" s="330"/>
      <c r="C1310" s="714" t="s">
        <v>177</v>
      </c>
      <c r="D1310" s="715" t="s">
        <v>178</v>
      </c>
      <c r="E1310" s="714" t="s">
        <v>37</v>
      </c>
      <c r="F1310" s="715" t="s">
        <v>178</v>
      </c>
      <c r="G1310" s="715" t="s">
        <v>178</v>
      </c>
      <c r="H1310" s="716" t="s">
        <v>298</v>
      </c>
      <c r="I1310" s="717" t="s">
        <v>300</v>
      </c>
      <c r="J1310" s="718" t="s">
        <v>389</v>
      </c>
      <c r="K1310" s="719"/>
      <c r="L1310" s="716" t="s">
        <v>287</v>
      </c>
      <c r="M1310" s="716" t="s">
        <v>287</v>
      </c>
      <c r="N1310" s="716" t="s">
        <v>467</v>
      </c>
      <c r="O1310" s="716" t="s">
        <v>467</v>
      </c>
      <c r="P1310" s="716" t="s">
        <v>467</v>
      </c>
      <c r="Q1310" s="586"/>
    </row>
    <row r="1311" spans="1:17">
      <c r="B1311" s="330"/>
      <c r="C1311" s="720">
        <f>IF(D1305= "","-",D1305)</f>
        <v>2015</v>
      </c>
      <c r="D1311" s="673">
        <f>+D1304</f>
        <v>2169182.02</v>
      </c>
      <c r="E1311" s="721">
        <f>+J1308/12*(12-D1306)</f>
        <v>0</v>
      </c>
      <c r="F1311" s="765">
        <f t="shared" ref="F1311:F1370" si="120">+D1311-E1311</f>
        <v>2169182.02</v>
      </c>
      <c r="G1311" s="673">
        <f t="shared" ref="G1311:G1370" si="121">+(D1311+F1311)/2</f>
        <v>2169182.02</v>
      </c>
      <c r="H1311" s="722">
        <f>+J1306*G1311+E1311</f>
        <v>332779.71994944481</v>
      </c>
      <c r="I1311" s="723">
        <f>+J1307*G1311+E1311</f>
        <v>332779.71994944481</v>
      </c>
      <c r="J1311" s="724">
        <f t="shared" ref="J1311:J1370" si="122">+I1311-H1311</f>
        <v>0</v>
      </c>
      <c r="K1311" s="724"/>
      <c r="L1311" s="728">
        <v>265269</v>
      </c>
      <c r="M1311" s="766">
        <f t="shared" ref="M1311:M1370" si="123">IF(L1311&lt;&gt;0,+H1311-L1311,0)</f>
        <v>67510.719949444814</v>
      </c>
      <c r="N1311" s="728">
        <v>265269</v>
      </c>
      <c r="O1311" s="766">
        <f t="shared" ref="O1311:O1370" si="124">IF(N1311&lt;&gt;0,+I1311-N1311,0)</f>
        <v>67510.719949444814</v>
      </c>
      <c r="P1311" s="766">
        <f t="shared" ref="P1311:P1370" si="125">+O1311-M1311</f>
        <v>0</v>
      </c>
      <c r="Q1311" s="674"/>
    </row>
    <row r="1312" spans="1:17">
      <c r="B1312" s="330"/>
      <c r="C1312" s="720">
        <f>IF(D1305="","-",+C1311+1)</f>
        <v>2016</v>
      </c>
      <c r="D1312" s="673">
        <f t="shared" ref="D1312:D1370" si="126">F1311</f>
        <v>2169182.02</v>
      </c>
      <c r="E1312" s="726">
        <f>IF(D1312&gt;$J$1308,$J$1308,D1312)</f>
        <v>49299.591363636362</v>
      </c>
      <c r="F1312" s="726">
        <f t="shared" si="120"/>
        <v>2119882.4286363637</v>
      </c>
      <c r="G1312" s="673">
        <f t="shared" si="121"/>
        <v>2144532.2243181821</v>
      </c>
      <c r="H1312" s="721">
        <f>+J1306*G1312+E1312</f>
        <v>378297.72358638304</v>
      </c>
      <c r="I1312" s="727">
        <f>+J1307*G1312+E1312</f>
        <v>378297.72358638304</v>
      </c>
      <c r="J1312" s="724">
        <f t="shared" si="122"/>
        <v>0</v>
      </c>
      <c r="K1312" s="724"/>
      <c r="L1312" s="728">
        <v>405050</v>
      </c>
      <c r="M1312" s="724">
        <f t="shared" si="123"/>
        <v>-26752.276413616957</v>
      </c>
      <c r="N1312" s="728">
        <v>405050</v>
      </c>
      <c r="O1312" s="724">
        <f t="shared" si="124"/>
        <v>-26752.276413616957</v>
      </c>
      <c r="P1312" s="724">
        <f t="shared" si="125"/>
        <v>0</v>
      </c>
      <c r="Q1312" s="674"/>
    </row>
    <row r="1313" spans="2:17">
      <c r="B1313" s="330"/>
      <c r="C1313" s="720">
        <f>IF(D1305="","-",+C1312+1)</f>
        <v>2017</v>
      </c>
      <c r="D1313" s="673">
        <f t="shared" si="126"/>
        <v>2119882.4286363637</v>
      </c>
      <c r="E1313" s="726">
        <f t="shared" ref="E1313:E1370" si="127">IF(D1313&gt;$J$1308,$J$1308,D1313)</f>
        <v>49299.591363636362</v>
      </c>
      <c r="F1313" s="726">
        <f t="shared" si="120"/>
        <v>2070582.8372727274</v>
      </c>
      <c r="G1313" s="673">
        <f t="shared" si="121"/>
        <v>2095232.6329545456</v>
      </c>
      <c r="H1313" s="721">
        <f>+J1306*G1313+E1313</f>
        <v>370734.54813298653</v>
      </c>
      <c r="I1313" s="727">
        <f>+J1307*G1313+E1313</f>
        <v>370734.54813298653</v>
      </c>
      <c r="J1313" s="724">
        <f t="shared" si="122"/>
        <v>0</v>
      </c>
      <c r="K1313" s="724"/>
      <c r="L1313" s="728">
        <v>419228</v>
      </c>
      <c r="M1313" s="724">
        <f t="shared" si="123"/>
        <v>-48493.451867013471</v>
      </c>
      <c r="N1313" s="728">
        <v>419228</v>
      </c>
      <c r="O1313" s="724">
        <f t="shared" si="124"/>
        <v>-48493.451867013471</v>
      </c>
      <c r="P1313" s="724">
        <f t="shared" si="125"/>
        <v>0</v>
      </c>
      <c r="Q1313" s="674"/>
    </row>
    <row r="1314" spans="2:17">
      <c r="B1314" s="330"/>
      <c r="C1314" s="720">
        <f>IF(D1305="","-",+C1313+1)</f>
        <v>2018</v>
      </c>
      <c r="D1314" s="1455">
        <f t="shared" si="126"/>
        <v>2070582.8372727274</v>
      </c>
      <c r="E1314" s="726">
        <f t="shared" si="127"/>
        <v>49299.591363636362</v>
      </c>
      <c r="F1314" s="726">
        <f t="shared" si="120"/>
        <v>2021283.2459090911</v>
      </c>
      <c r="G1314" s="673">
        <f t="shared" si="121"/>
        <v>2045933.0415909092</v>
      </c>
      <c r="H1314" s="721">
        <f>+J1306*G1314+E1314</f>
        <v>363171.37267959007</v>
      </c>
      <c r="I1314" s="727">
        <f>+J1307*G1314+E1314</f>
        <v>363171.37267959007</v>
      </c>
      <c r="J1314" s="724">
        <f t="shared" si="122"/>
        <v>0</v>
      </c>
      <c r="K1314" s="724"/>
      <c r="L1314" s="728">
        <v>326706</v>
      </c>
      <c r="M1314" s="724">
        <f t="shared" si="123"/>
        <v>36465.372679590073</v>
      </c>
      <c r="N1314" s="728">
        <v>326706</v>
      </c>
      <c r="O1314" s="724">
        <f t="shared" si="124"/>
        <v>36465.372679590073</v>
      </c>
      <c r="P1314" s="724">
        <f t="shared" si="125"/>
        <v>0</v>
      </c>
      <c r="Q1314" s="674"/>
    </row>
    <row r="1315" spans="2:17">
      <c r="B1315" s="330"/>
      <c r="C1315" s="720">
        <f>IF(D1305="","-",+C1314+1)</f>
        <v>2019</v>
      </c>
      <c r="D1315" s="1269">
        <f t="shared" si="126"/>
        <v>2021283.2459090911</v>
      </c>
      <c r="E1315" s="726">
        <f t="shared" si="127"/>
        <v>49299.591363636362</v>
      </c>
      <c r="F1315" s="726">
        <f t="shared" si="120"/>
        <v>1971983.6545454548</v>
      </c>
      <c r="G1315" s="673">
        <f t="shared" si="121"/>
        <v>1996633.4502272729</v>
      </c>
      <c r="H1315" s="721">
        <f>+J1306*G1315+E1315</f>
        <v>355608.19722619356</v>
      </c>
      <c r="I1315" s="727">
        <f>+J1307*G1315+E1315</f>
        <v>355608.19722619356</v>
      </c>
      <c r="J1315" s="724">
        <f t="shared" si="122"/>
        <v>0</v>
      </c>
      <c r="K1315" s="724"/>
      <c r="L1315" s="1452">
        <v>349175</v>
      </c>
      <c r="M1315" s="724">
        <f t="shared" si="123"/>
        <v>6433.1972261935589</v>
      </c>
      <c r="N1315" s="1452">
        <v>349175</v>
      </c>
      <c r="O1315" s="724">
        <f t="shared" si="124"/>
        <v>6433.1972261935589</v>
      </c>
      <c r="P1315" s="724">
        <f t="shared" si="125"/>
        <v>0</v>
      </c>
      <c r="Q1315" s="674"/>
    </row>
    <row r="1316" spans="2:17">
      <c r="B1316" s="330"/>
      <c r="C1316" s="720">
        <f>IF(D1305="","-",+C1315+1)</f>
        <v>2020</v>
      </c>
      <c r="D1316" s="1269">
        <f t="shared" si="126"/>
        <v>1971983.6545454548</v>
      </c>
      <c r="E1316" s="726">
        <f t="shared" si="127"/>
        <v>49299.591363636362</v>
      </c>
      <c r="F1316" s="726">
        <f t="shared" si="120"/>
        <v>1922684.0631818185</v>
      </c>
      <c r="G1316" s="673">
        <f t="shared" si="121"/>
        <v>1947333.8588636366</v>
      </c>
      <c r="H1316" s="721">
        <f>+J1306*G1316+E1316</f>
        <v>348045.0217727971</v>
      </c>
      <c r="I1316" s="727">
        <f>+J1307*G1316+E1316</f>
        <v>348045.0217727971</v>
      </c>
      <c r="J1316" s="724">
        <f t="shared" si="122"/>
        <v>0</v>
      </c>
      <c r="K1316" s="724"/>
      <c r="L1316" s="728">
        <v>336641.45787141309</v>
      </c>
      <c r="M1316" s="724">
        <f t="shared" si="123"/>
        <v>11403.563901384012</v>
      </c>
      <c r="N1316" s="1548">
        <v>336641.45787141309</v>
      </c>
      <c r="O1316" s="724">
        <f t="shared" si="124"/>
        <v>11403.563901384012</v>
      </c>
      <c r="P1316" s="724">
        <f t="shared" si="125"/>
        <v>0</v>
      </c>
      <c r="Q1316" s="674"/>
    </row>
    <row r="1317" spans="2:17">
      <c r="B1317" s="330"/>
      <c r="C1317" s="720">
        <f>IF(D1305="","-",+C1316+1)</f>
        <v>2021</v>
      </c>
      <c r="D1317" s="1269">
        <f t="shared" si="126"/>
        <v>1922684.0631818185</v>
      </c>
      <c r="E1317" s="726">
        <f t="shared" si="127"/>
        <v>49299.591363636362</v>
      </c>
      <c r="F1317" s="726">
        <f t="shared" si="120"/>
        <v>1873384.4718181822</v>
      </c>
      <c r="G1317" s="673">
        <f t="shared" si="121"/>
        <v>1898034.2675000003</v>
      </c>
      <c r="H1317" s="721">
        <f>+J1306*G1317+E1317</f>
        <v>340481.84631940065</v>
      </c>
      <c r="I1317" s="727">
        <f>+J1307*G1317+E1317</f>
        <v>340481.84631940065</v>
      </c>
      <c r="J1317" s="724">
        <f t="shared" si="122"/>
        <v>0</v>
      </c>
      <c r="K1317" s="724"/>
      <c r="L1317" s="728">
        <v>321383.23908881261</v>
      </c>
      <c r="M1317" s="724">
        <f t="shared" si="123"/>
        <v>19098.607230588037</v>
      </c>
      <c r="N1317" s="1548">
        <v>321383.23908881261</v>
      </c>
      <c r="O1317" s="724">
        <f t="shared" si="124"/>
        <v>19098.607230588037</v>
      </c>
      <c r="P1317" s="724">
        <f t="shared" si="125"/>
        <v>0</v>
      </c>
      <c r="Q1317" s="674"/>
    </row>
    <row r="1318" spans="2:17">
      <c r="B1318" s="330"/>
      <c r="C1318" s="720">
        <f>IF(D1305="","-",+C1317+1)</f>
        <v>2022</v>
      </c>
      <c r="D1318" s="673">
        <f t="shared" si="126"/>
        <v>1873384.4718181822</v>
      </c>
      <c r="E1318" s="726">
        <f t="shared" si="127"/>
        <v>49299.591363636362</v>
      </c>
      <c r="F1318" s="726">
        <f t="shared" si="120"/>
        <v>1824084.8804545458</v>
      </c>
      <c r="G1318" s="673">
        <f t="shared" si="121"/>
        <v>1848734.676136364</v>
      </c>
      <c r="H1318" s="721">
        <f>+J1306*G1318+E1318</f>
        <v>332918.67086600419</v>
      </c>
      <c r="I1318" s="727">
        <f>+J1307*G1318+E1318</f>
        <v>332918.67086600419</v>
      </c>
      <c r="J1318" s="724">
        <f t="shared" si="122"/>
        <v>0</v>
      </c>
      <c r="K1318" s="724"/>
      <c r="L1318" s="728">
        <v>0</v>
      </c>
      <c r="M1318" s="724">
        <f t="shared" si="123"/>
        <v>0</v>
      </c>
      <c r="N1318" s="728">
        <v>0</v>
      </c>
      <c r="O1318" s="724">
        <f t="shared" si="124"/>
        <v>0</v>
      </c>
      <c r="P1318" s="724">
        <f t="shared" si="125"/>
        <v>0</v>
      </c>
      <c r="Q1318" s="674"/>
    </row>
    <row r="1319" spans="2:17">
      <c r="B1319" s="330"/>
      <c r="C1319" s="720">
        <f>IF(D1305="","-",+C1318+1)</f>
        <v>2023</v>
      </c>
      <c r="D1319" s="673">
        <f t="shared" si="126"/>
        <v>1824084.8804545458</v>
      </c>
      <c r="E1319" s="726">
        <f t="shared" si="127"/>
        <v>49299.591363636362</v>
      </c>
      <c r="F1319" s="726">
        <f t="shared" si="120"/>
        <v>1774785.2890909095</v>
      </c>
      <c r="G1319" s="673">
        <f t="shared" si="121"/>
        <v>1799435.0847727277</v>
      </c>
      <c r="H1319" s="721">
        <f>+J1306*G1319+E1319</f>
        <v>325355.49541260774</v>
      </c>
      <c r="I1319" s="727">
        <f>+J1307*G1319+E1319</f>
        <v>325355.49541260774</v>
      </c>
      <c r="J1319" s="724">
        <f t="shared" si="122"/>
        <v>0</v>
      </c>
      <c r="K1319" s="724"/>
      <c r="L1319" s="728">
        <v>0</v>
      </c>
      <c r="M1319" s="724">
        <f t="shared" si="123"/>
        <v>0</v>
      </c>
      <c r="N1319" s="728">
        <v>0</v>
      </c>
      <c r="O1319" s="724">
        <f t="shared" si="124"/>
        <v>0</v>
      </c>
      <c r="P1319" s="724">
        <f t="shared" si="125"/>
        <v>0</v>
      </c>
      <c r="Q1319" s="674"/>
    </row>
    <row r="1320" spans="2:17">
      <c r="B1320" s="330"/>
      <c r="C1320" s="1291">
        <f>IF(D1305="","-",+C1319+1)</f>
        <v>2024</v>
      </c>
      <c r="D1320" s="673">
        <f t="shared" si="126"/>
        <v>1774785.2890909095</v>
      </c>
      <c r="E1320" s="726">
        <f t="shared" si="127"/>
        <v>49299.591363636362</v>
      </c>
      <c r="F1320" s="726">
        <f t="shared" si="120"/>
        <v>1725485.6977272732</v>
      </c>
      <c r="G1320" s="673">
        <f t="shared" si="121"/>
        <v>1750135.4934090914</v>
      </c>
      <c r="H1320" s="721">
        <f>+J1306*G1320+E1320</f>
        <v>317792.31995921128</v>
      </c>
      <c r="I1320" s="727">
        <f>+J1307*G1320+E1320</f>
        <v>317792.31995921128</v>
      </c>
      <c r="J1320" s="724">
        <f t="shared" si="122"/>
        <v>0</v>
      </c>
      <c r="K1320" s="724"/>
      <c r="L1320" s="728">
        <v>0</v>
      </c>
      <c r="M1320" s="724">
        <f t="shared" si="123"/>
        <v>0</v>
      </c>
      <c r="N1320" s="728">
        <v>0</v>
      </c>
      <c r="O1320" s="724">
        <f t="shared" si="124"/>
        <v>0</v>
      </c>
      <c r="P1320" s="724">
        <f t="shared" si="125"/>
        <v>0</v>
      </c>
      <c r="Q1320" s="674"/>
    </row>
    <row r="1321" spans="2:17">
      <c r="B1321" s="330"/>
      <c r="C1321" s="720">
        <f>IF(D1305="","-",+C1320+1)</f>
        <v>2025</v>
      </c>
      <c r="D1321" s="673">
        <f t="shared" si="126"/>
        <v>1725485.6977272732</v>
      </c>
      <c r="E1321" s="726">
        <f t="shared" si="127"/>
        <v>49299.591363636362</v>
      </c>
      <c r="F1321" s="726">
        <f t="shared" si="120"/>
        <v>1676186.1063636369</v>
      </c>
      <c r="G1321" s="673">
        <f t="shared" si="121"/>
        <v>1700835.9020454551</v>
      </c>
      <c r="H1321" s="721">
        <f>+J1306*G1321+E1321</f>
        <v>310229.14450581477</v>
      </c>
      <c r="I1321" s="727">
        <f>+J1307*G1321+E1321</f>
        <v>310229.14450581477</v>
      </c>
      <c r="J1321" s="724">
        <f t="shared" si="122"/>
        <v>0</v>
      </c>
      <c r="K1321" s="724"/>
      <c r="L1321" s="728"/>
      <c r="M1321" s="724">
        <f t="shared" si="123"/>
        <v>0</v>
      </c>
      <c r="N1321" s="728"/>
      <c r="O1321" s="724">
        <f t="shared" si="124"/>
        <v>0</v>
      </c>
      <c r="P1321" s="724">
        <f t="shared" si="125"/>
        <v>0</v>
      </c>
      <c r="Q1321" s="674"/>
    </row>
    <row r="1322" spans="2:17">
      <c r="B1322" s="330"/>
      <c r="C1322" s="720">
        <f>IF(D1305="","-",+C1321+1)</f>
        <v>2026</v>
      </c>
      <c r="D1322" s="673">
        <f t="shared" si="126"/>
        <v>1676186.1063636369</v>
      </c>
      <c r="E1322" s="726">
        <f t="shared" si="127"/>
        <v>49299.591363636362</v>
      </c>
      <c r="F1322" s="726">
        <f t="shared" si="120"/>
        <v>1626886.5150000006</v>
      </c>
      <c r="G1322" s="673">
        <f t="shared" si="121"/>
        <v>1651536.3106818188</v>
      </c>
      <c r="H1322" s="721">
        <f>+J1306*G1322+E1322</f>
        <v>302665.96905241831</v>
      </c>
      <c r="I1322" s="727">
        <f>+J1307*G1322+E1322</f>
        <v>302665.96905241831</v>
      </c>
      <c r="J1322" s="724">
        <f t="shared" si="122"/>
        <v>0</v>
      </c>
      <c r="K1322" s="724"/>
      <c r="L1322" s="728"/>
      <c r="M1322" s="724">
        <f t="shared" si="123"/>
        <v>0</v>
      </c>
      <c r="N1322" s="728"/>
      <c r="O1322" s="724">
        <f t="shared" si="124"/>
        <v>0</v>
      </c>
      <c r="P1322" s="724">
        <f t="shared" si="125"/>
        <v>0</v>
      </c>
      <c r="Q1322" s="674"/>
    </row>
    <row r="1323" spans="2:17">
      <c r="B1323" s="330"/>
      <c r="C1323" s="720">
        <f>IF(D1305="","-",+C1322+1)</f>
        <v>2027</v>
      </c>
      <c r="D1323" s="673">
        <f t="shared" si="126"/>
        <v>1626886.5150000006</v>
      </c>
      <c r="E1323" s="726">
        <f t="shared" si="127"/>
        <v>49299.591363636362</v>
      </c>
      <c r="F1323" s="726">
        <f t="shared" si="120"/>
        <v>1577586.9236363643</v>
      </c>
      <c r="G1323" s="673">
        <f t="shared" si="121"/>
        <v>1602236.7193181824</v>
      </c>
      <c r="H1323" s="721">
        <f>+J1306*G1323+E1323</f>
        <v>295102.79359902185</v>
      </c>
      <c r="I1323" s="727">
        <f>+J1307*G1323+E1323</f>
        <v>295102.79359902185</v>
      </c>
      <c r="J1323" s="724">
        <f t="shared" si="122"/>
        <v>0</v>
      </c>
      <c r="K1323" s="724"/>
      <c r="L1323" s="728"/>
      <c r="M1323" s="724">
        <f t="shared" si="123"/>
        <v>0</v>
      </c>
      <c r="N1323" s="728"/>
      <c r="O1323" s="724">
        <f t="shared" si="124"/>
        <v>0</v>
      </c>
      <c r="P1323" s="724">
        <f t="shared" si="125"/>
        <v>0</v>
      </c>
      <c r="Q1323" s="674"/>
    </row>
    <row r="1324" spans="2:17">
      <c r="B1324" s="330"/>
      <c r="C1324" s="720">
        <f>IF(D1305="","-",+C1323+1)</f>
        <v>2028</v>
      </c>
      <c r="D1324" s="673">
        <f t="shared" si="126"/>
        <v>1577586.9236363643</v>
      </c>
      <c r="E1324" s="726">
        <f t="shared" si="127"/>
        <v>49299.591363636362</v>
      </c>
      <c r="F1324" s="726">
        <f t="shared" si="120"/>
        <v>1528287.332272728</v>
      </c>
      <c r="G1324" s="673">
        <f t="shared" si="121"/>
        <v>1552937.1279545461</v>
      </c>
      <c r="H1324" s="721">
        <f>+J1306*G1324+E1324</f>
        <v>287539.6181456254</v>
      </c>
      <c r="I1324" s="727">
        <f>+J1307*G1324+E1324</f>
        <v>287539.6181456254</v>
      </c>
      <c r="J1324" s="724">
        <f t="shared" si="122"/>
        <v>0</v>
      </c>
      <c r="K1324" s="724"/>
      <c r="L1324" s="728"/>
      <c r="M1324" s="724">
        <f t="shared" si="123"/>
        <v>0</v>
      </c>
      <c r="N1324" s="728"/>
      <c r="O1324" s="724">
        <f t="shared" si="124"/>
        <v>0</v>
      </c>
      <c r="P1324" s="724">
        <f t="shared" si="125"/>
        <v>0</v>
      </c>
      <c r="Q1324" s="674"/>
    </row>
    <row r="1325" spans="2:17">
      <c r="B1325" s="330"/>
      <c r="C1325" s="720">
        <f>IF(D1305="","-",+C1324+1)</f>
        <v>2029</v>
      </c>
      <c r="D1325" s="673">
        <f t="shared" si="126"/>
        <v>1528287.332272728</v>
      </c>
      <c r="E1325" s="726">
        <f t="shared" si="127"/>
        <v>49299.591363636362</v>
      </c>
      <c r="F1325" s="726">
        <f t="shared" si="120"/>
        <v>1478987.7409090917</v>
      </c>
      <c r="G1325" s="673">
        <f t="shared" si="121"/>
        <v>1503637.5365909098</v>
      </c>
      <c r="H1325" s="721">
        <f>+J1306*G1325+E1325</f>
        <v>279976.44269222888</v>
      </c>
      <c r="I1325" s="727">
        <f>+J1307*G1325+E1325</f>
        <v>279976.44269222888</v>
      </c>
      <c r="J1325" s="724">
        <f t="shared" si="122"/>
        <v>0</v>
      </c>
      <c r="K1325" s="724"/>
      <c r="L1325" s="728"/>
      <c r="M1325" s="724">
        <f t="shared" si="123"/>
        <v>0</v>
      </c>
      <c r="N1325" s="728"/>
      <c r="O1325" s="724">
        <f t="shared" si="124"/>
        <v>0</v>
      </c>
      <c r="P1325" s="724">
        <f t="shared" si="125"/>
        <v>0</v>
      </c>
      <c r="Q1325" s="674"/>
    </row>
    <row r="1326" spans="2:17">
      <c r="B1326" s="330"/>
      <c r="C1326" s="720">
        <f>IF(D1305="","-",+C1325+1)</f>
        <v>2030</v>
      </c>
      <c r="D1326" s="673">
        <f t="shared" si="126"/>
        <v>1478987.7409090917</v>
      </c>
      <c r="E1326" s="726">
        <f t="shared" si="127"/>
        <v>49299.591363636362</v>
      </c>
      <c r="F1326" s="726">
        <f t="shared" si="120"/>
        <v>1429688.1495454554</v>
      </c>
      <c r="G1326" s="673">
        <f t="shared" si="121"/>
        <v>1454337.9452272735</v>
      </c>
      <c r="H1326" s="721">
        <f>+J1306*G1326+E1326</f>
        <v>272413.26723883243</v>
      </c>
      <c r="I1326" s="727">
        <f>+J1307*G1326+E1326</f>
        <v>272413.26723883243</v>
      </c>
      <c r="J1326" s="724">
        <f t="shared" si="122"/>
        <v>0</v>
      </c>
      <c r="K1326" s="724"/>
      <c r="L1326" s="728"/>
      <c r="M1326" s="724">
        <f t="shared" si="123"/>
        <v>0</v>
      </c>
      <c r="N1326" s="728"/>
      <c r="O1326" s="724">
        <f t="shared" si="124"/>
        <v>0</v>
      </c>
      <c r="P1326" s="724">
        <f t="shared" si="125"/>
        <v>0</v>
      </c>
      <c r="Q1326" s="674"/>
    </row>
    <row r="1327" spans="2:17">
      <c r="B1327" s="330"/>
      <c r="C1327" s="720">
        <f>IF(D1305="","-",+C1326+1)</f>
        <v>2031</v>
      </c>
      <c r="D1327" s="673">
        <f t="shared" si="126"/>
        <v>1429688.1495454554</v>
      </c>
      <c r="E1327" s="726">
        <f t="shared" si="127"/>
        <v>49299.591363636362</v>
      </c>
      <c r="F1327" s="726">
        <f t="shared" si="120"/>
        <v>1380388.558181819</v>
      </c>
      <c r="G1327" s="673">
        <f t="shared" si="121"/>
        <v>1405038.3538636372</v>
      </c>
      <c r="H1327" s="721">
        <f>+J1306*G1327+E1327</f>
        <v>264850.09178543597</v>
      </c>
      <c r="I1327" s="727">
        <f>+J1307*G1327+E1327</f>
        <v>264850.09178543597</v>
      </c>
      <c r="J1327" s="724">
        <f t="shared" si="122"/>
        <v>0</v>
      </c>
      <c r="K1327" s="724"/>
      <c r="L1327" s="728"/>
      <c r="M1327" s="724">
        <f t="shared" si="123"/>
        <v>0</v>
      </c>
      <c r="N1327" s="728"/>
      <c r="O1327" s="724">
        <f t="shared" si="124"/>
        <v>0</v>
      </c>
      <c r="P1327" s="724">
        <f t="shared" si="125"/>
        <v>0</v>
      </c>
      <c r="Q1327" s="674"/>
    </row>
    <row r="1328" spans="2:17">
      <c r="B1328" s="330"/>
      <c r="C1328" s="720">
        <f>IF(D1305="","-",+C1327+1)</f>
        <v>2032</v>
      </c>
      <c r="D1328" s="673">
        <f t="shared" si="126"/>
        <v>1380388.558181819</v>
      </c>
      <c r="E1328" s="726">
        <f t="shared" si="127"/>
        <v>49299.591363636362</v>
      </c>
      <c r="F1328" s="726">
        <f t="shared" si="120"/>
        <v>1331088.9668181827</v>
      </c>
      <c r="G1328" s="673">
        <f t="shared" si="121"/>
        <v>1355738.7625000009</v>
      </c>
      <c r="H1328" s="721">
        <f>+J1306*G1328+E1328</f>
        <v>257286.91633203952</v>
      </c>
      <c r="I1328" s="727">
        <f>+J1307*G1328+E1328</f>
        <v>257286.91633203952</v>
      </c>
      <c r="J1328" s="724">
        <f t="shared" si="122"/>
        <v>0</v>
      </c>
      <c r="K1328" s="724"/>
      <c r="L1328" s="728"/>
      <c r="M1328" s="724">
        <f t="shared" si="123"/>
        <v>0</v>
      </c>
      <c r="N1328" s="728"/>
      <c r="O1328" s="724">
        <f t="shared" si="124"/>
        <v>0</v>
      </c>
      <c r="P1328" s="724">
        <f t="shared" si="125"/>
        <v>0</v>
      </c>
      <c r="Q1328" s="674"/>
    </row>
    <row r="1329" spans="2:17">
      <c r="B1329" s="330"/>
      <c r="C1329" s="720">
        <f>IF(D1305="","-",+C1328+1)</f>
        <v>2033</v>
      </c>
      <c r="D1329" s="673">
        <f t="shared" si="126"/>
        <v>1331088.9668181827</v>
      </c>
      <c r="E1329" s="726">
        <f t="shared" si="127"/>
        <v>49299.591363636362</v>
      </c>
      <c r="F1329" s="726">
        <f t="shared" si="120"/>
        <v>1281789.3754545464</v>
      </c>
      <c r="G1329" s="673">
        <f t="shared" si="121"/>
        <v>1306439.1711363646</v>
      </c>
      <c r="H1329" s="721">
        <f>+J1306*G1329+E1329</f>
        <v>249723.74087864306</v>
      </c>
      <c r="I1329" s="727">
        <f>+J1307*G1329+E1329</f>
        <v>249723.74087864306</v>
      </c>
      <c r="J1329" s="724">
        <f t="shared" si="122"/>
        <v>0</v>
      </c>
      <c r="K1329" s="724"/>
      <c r="L1329" s="728"/>
      <c r="M1329" s="724">
        <f t="shared" si="123"/>
        <v>0</v>
      </c>
      <c r="N1329" s="728"/>
      <c r="O1329" s="724">
        <f t="shared" si="124"/>
        <v>0</v>
      </c>
      <c r="P1329" s="724">
        <f t="shared" si="125"/>
        <v>0</v>
      </c>
      <c r="Q1329" s="674"/>
    </row>
    <row r="1330" spans="2:17">
      <c r="B1330" s="330"/>
      <c r="C1330" s="720">
        <f>IF(D1305="","-",+C1329+1)</f>
        <v>2034</v>
      </c>
      <c r="D1330" s="673">
        <f t="shared" si="126"/>
        <v>1281789.3754545464</v>
      </c>
      <c r="E1330" s="726">
        <f t="shared" si="127"/>
        <v>49299.591363636362</v>
      </c>
      <c r="F1330" s="726">
        <f t="shared" si="120"/>
        <v>1232489.7840909101</v>
      </c>
      <c r="G1330" s="673">
        <f t="shared" si="121"/>
        <v>1257139.5797727283</v>
      </c>
      <c r="H1330" s="721">
        <f>+J1306*G1330+E1330</f>
        <v>242160.5654252466</v>
      </c>
      <c r="I1330" s="727">
        <f>+J1307*G1330+E1330</f>
        <v>242160.5654252466</v>
      </c>
      <c r="J1330" s="724">
        <f t="shared" si="122"/>
        <v>0</v>
      </c>
      <c r="K1330" s="724"/>
      <c r="L1330" s="728"/>
      <c r="M1330" s="724">
        <f t="shared" si="123"/>
        <v>0</v>
      </c>
      <c r="N1330" s="728"/>
      <c r="O1330" s="724">
        <f t="shared" si="124"/>
        <v>0</v>
      </c>
      <c r="P1330" s="724">
        <f t="shared" si="125"/>
        <v>0</v>
      </c>
      <c r="Q1330" s="674"/>
    </row>
    <row r="1331" spans="2:17">
      <c r="B1331" s="330"/>
      <c r="C1331" s="720">
        <f>IF(D1305="","-",+C1330+1)</f>
        <v>2035</v>
      </c>
      <c r="D1331" s="673">
        <f t="shared" si="126"/>
        <v>1232489.7840909101</v>
      </c>
      <c r="E1331" s="726">
        <f t="shared" si="127"/>
        <v>49299.591363636362</v>
      </c>
      <c r="F1331" s="726">
        <f t="shared" si="120"/>
        <v>1183190.1927272738</v>
      </c>
      <c r="G1331" s="673">
        <f t="shared" si="121"/>
        <v>1207839.988409092</v>
      </c>
      <c r="H1331" s="721">
        <f>+J1306*G1331+E1331</f>
        <v>234597.38997185012</v>
      </c>
      <c r="I1331" s="727">
        <f>+J1307*G1331+E1331</f>
        <v>234597.38997185012</v>
      </c>
      <c r="J1331" s="724">
        <f t="shared" si="122"/>
        <v>0</v>
      </c>
      <c r="K1331" s="724"/>
      <c r="L1331" s="728"/>
      <c r="M1331" s="724">
        <f t="shared" si="123"/>
        <v>0</v>
      </c>
      <c r="N1331" s="728"/>
      <c r="O1331" s="724">
        <f t="shared" si="124"/>
        <v>0</v>
      </c>
      <c r="P1331" s="724">
        <f t="shared" si="125"/>
        <v>0</v>
      </c>
      <c r="Q1331" s="674"/>
    </row>
    <row r="1332" spans="2:17">
      <c r="B1332" s="330"/>
      <c r="C1332" s="720">
        <f>IF(D1305="","-",+C1331+1)</f>
        <v>2036</v>
      </c>
      <c r="D1332" s="673">
        <f t="shared" si="126"/>
        <v>1183190.1927272738</v>
      </c>
      <c r="E1332" s="726">
        <f t="shared" si="127"/>
        <v>49299.591363636362</v>
      </c>
      <c r="F1332" s="726">
        <f t="shared" si="120"/>
        <v>1133890.6013636375</v>
      </c>
      <c r="G1332" s="673">
        <f t="shared" si="121"/>
        <v>1158540.3970454556</v>
      </c>
      <c r="H1332" s="721">
        <f>+J1306*G1332+E1332</f>
        <v>227034.21451845366</v>
      </c>
      <c r="I1332" s="727">
        <f>+J1307*G1332+E1332</f>
        <v>227034.21451845366</v>
      </c>
      <c r="J1332" s="724">
        <f t="shared" si="122"/>
        <v>0</v>
      </c>
      <c r="K1332" s="724"/>
      <c r="L1332" s="728"/>
      <c r="M1332" s="724">
        <f t="shared" si="123"/>
        <v>0</v>
      </c>
      <c r="N1332" s="728"/>
      <c r="O1332" s="724">
        <f t="shared" si="124"/>
        <v>0</v>
      </c>
      <c r="P1332" s="724">
        <f t="shared" si="125"/>
        <v>0</v>
      </c>
      <c r="Q1332" s="674"/>
    </row>
    <row r="1333" spans="2:17">
      <c r="B1333" s="330"/>
      <c r="C1333" s="720">
        <f>IF(D1305="","-",+C1332+1)</f>
        <v>2037</v>
      </c>
      <c r="D1333" s="673">
        <f t="shared" si="126"/>
        <v>1133890.6013636375</v>
      </c>
      <c r="E1333" s="726">
        <f t="shared" si="127"/>
        <v>49299.591363636362</v>
      </c>
      <c r="F1333" s="726">
        <f t="shared" si="120"/>
        <v>1084591.0100000012</v>
      </c>
      <c r="G1333" s="673">
        <f t="shared" si="121"/>
        <v>1109240.8056818193</v>
      </c>
      <c r="H1333" s="721">
        <f>+J1306*G1333+E1333</f>
        <v>219471.03906505721</v>
      </c>
      <c r="I1333" s="727">
        <f>+J1307*G1333+E1333</f>
        <v>219471.03906505721</v>
      </c>
      <c r="J1333" s="724">
        <f t="shared" si="122"/>
        <v>0</v>
      </c>
      <c r="K1333" s="724"/>
      <c r="L1333" s="728"/>
      <c r="M1333" s="724">
        <f t="shared" si="123"/>
        <v>0</v>
      </c>
      <c r="N1333" s="728"/>
      <c r="O1333" s="724">
        <f t="shared" si="124"/>
        <v>0</v>
      </c>
      <c r="P1333" s="724">
        <f t="shared" si="125"/>
        <v>0</v>
      </c>
      <c r="Q1333" s="674"/>
    </row>
    <row r="1334" spans="2:17">
      <c r="B1334" s="330"/>
      <c r="C1334" s="720">
        <f>IF(D1305="","-",+C1333+1)</f>
        <v>2038</v>
      </c>
      <c r="D1334" s="673">
        <f t="shared" si="126"/>
        <v>1084591.0100000012</v>
      </c>
      <c r="E1334" s="726">
        <f t="shared" si="127"/>
        <v>49299.591363636362</v>
      </c>
      <c r="F1334" s="726">
        <f t="shared" si="120"/>
        <v>1035291.4186363649</v>
      </c>
      <c r="G1334" s="673">
        <f t="shared" si="121"/>
        <v>1059941.214318183</v>
      </c>
      <c r="H1334" s="721">
        <f>+J1306*G1334+E1334</f>
        <v>211907.86361166072</v>
      </c>
      <c r="I1334" s="727">
        <f>+J1307*G1334+E1334</f>
        <v>211907.86361166072</v>
      </c>
      <c r="J1334" s="724">
        <f t="shared" si="122"/>
        <v>0</v>
      </c>
      <c r="K1334" s="724"/>
      <c r="L1334" s="728"/>
      <c r="M1334" s="724">
        <f t="shared" si="123"/>
        <v>0</v>
      </c>
      <c r="N1334" s="728"/>
      <c r="O1334" s="724">
        <f t="shared" si="124"/>
        <v>0</v>
      </c>
      <c r="P1334" s="724">
        <f t="shared" si="125"/>
        <v>0</v>
      </c>
      <c r="Q1334" s="674"/>
    </row>
    <row r="1335" spans="2:17">
      <c r="B1335" s="330"/>
      <c r="C1335" s="720">
        <f>IF(D1305="","-",+C1334+1)</f>
        <v>2039</v>
      </c>
      <c r="D1335" s="673">
        <f t="shared" si="126"/>
        <v>1035291.4186363649</v>
      </c>
      <c r="E1335" s="726">
        <f t="shared" si="127"/>
        <v>49299.591363636362</v>
      </c>
      <c r="F1335" s="726">
        <f t="shared" si="120"/>
        <v>985991.82727272855</v>
      </c>
      <c r="G1335" s="673">
        <f t="shared" si="121"/>
        <v>1010641.6229545467</v>
      </c>
      <c r="H1335" s="721">
        <f>+J1306*G1335+E1335</f>
        <v>204344.68815826427</v>
      </c>
      <c r="I1335" s="727">
        <f>+J1307*G1335+E1335</f>
        <v>204344.68815826427</v>
      </c>
      <c r="J1335" s="724">
        <f t="shared" si="122"/>
        <v>0</v>
      </c>
      <c r="K1335" s="724"/>
      <c r="L1335" s="728"/>
      <c r="M1335" s="724">
        <f t="shared" si="123"/>
        <v>0</v>
      </c>
      <c r="N1335" s="728"/>
      <c r="O1335" s="724">
        <f t="shared" si="124"/>
        <v>0</v>
      </c>
      <c r="P1335" s="724">
        <f t="shared" si="125"/>
        <v>0</v>
      </c>
      <c r="Q1335" s="674"/>
    </row>
    <row r="1336" spans="2:17">
      <c r="B1336" s="330"/>
      <c r="C1336" s="720">
        <f>IF(D1305="","-",+C1335+1)</f>
        <v>2040</v>
      </c>
      <c r="D1336" s="673">
        <f t="shared" si="126"/>
        <v>985991.82727272855</v>
      </c>
      <c r="E1336" s="726">
        <f t="shared" si="127"/>
        <v>49299.591363636362</v>
      </c>
      <c r="F1336" s="726">
        <f t="shared" si="120"/>
        <v>936692.23590909224</v>
      </c>
      <c r="G1336" s="673">
        <f t="shared" si="121"/>
        <v>961342.0315909104</v>
      </c>
      <c r="H1336" s="721">
        <f>+J1306*G1336+E1336</f>
        <v>196781.51270486781</v>
      </c>
      <c r="I1336" s="727">
        <f>+J1307*G1336+E1336</f>
        <v>196781.51270486781</v>
      </c>
      <c r="J1336" s="724">
        <f t="shared" si="122"/>
        <v>0</v>
      </c>
      <c r="K1336" s="724"/>
      <c r="L1336" s="728"/>
      <c r="M1336" s="724">
        <f t="shared" si="123"/>
        <v>0</v>
      </c>
      <c r="N1336" s="728"/>
      <c r="O1336" s="724">
        <f t="shared" si="124"/>
        <v>0</v>
      </c>
      <c r="P1336" s="724">
        <f t="shared" si="125"/>
        <v>0</v>
      </c>
      <c r="Q1336" s="674"/>
    </row>
    <row r="1337" spans="2:17">
      <c r="B1337" s="330"/>
      <c r="C1337" s="720">
        <f>IF(D1305="","-",+C1336+1)</f>
        <v>2041</v>
      </c>
      <c r="D1337" s="673">
        <f t="shared" si="126"/>
        <v>936692.23590909224</v>
      </c>
      <c r="E1337" s="726">
        <f t="shared" si="127"/>
        <v>49299.591363636362</v>
      </c>
      <c r="F1337" s="726">
        <f t="shared" si="120"/>
        <v>887392.64454545593</v>
      </c>
      <c r="G1337" s="673">
        <f t="shared" si="121"/>
        <v>912042.44022727408</v>
      </c>
      <c r="H1337" s="721">
        <f>+J1306*G1337+E1337</f>
        <v>189218.33725147133</v>
      </c>
      <c r="I1337" s="727">
        <f>+J1307*G1337+E1337</f>
        <v>189218.33725147133</v>
      </c>
      <c r="J1337" s="724">
        <f t="shared" si="122"/>
        <v>0</v>
      </c>
      <c r="K1337" s="724"/>
      <c r="L1337" s="728"/>
      <c r="M1337" s="724">
        <f t="shared" si="123"/>
        <v>0</v>
      </c>
      <c r="N1337" s="728"/>
      <c r="O1337" s="724">
        <f t="shared" si="124"/>
        <v>0</v>
      </c>
      <c r="P1337" s="724">
        <f t="shared" si="125"/>
        <v>0</v>
      </c>
      <c r="Q1337" s="674"/>
    </row>
    <row r="1338" spans="2:17">
      <c r="B1338" s="330"/>
      <c r="C1338" s="720">
        <f>IF(D1305="","-",+C1337+1)</f>
        <v>2042</v>
      </c>
      <c r="D1338" s="673">
        <f t="shared" si="126"/>
        <v>887392.64454545593</v>
      </c>
      <c r="E1338" s="726">
        <f t="shared" si="127"/>
        <v>49299.591363636362</v>
      </c>
      <c r="F1338" s="726">
        <f t="shared" si="120"/>
        <v>838093.05318181962</v>
      </c>
      <c r="G1338" s="673">
        <f t="shared" si="121"/>
        <v>862742.84886363777</v>
      </c>
      <c r="H1338" s="721">
        <f>+J1306*G1338+E1338</f>
        <v>181655.16179807487</v>
      </c>
      <c r="I1338" s="727">
        <f>+J1307*G1338+E1338</f>
        <v>181655.16179807487</v>
      </c>
      <c r="J1338" s="724">
        <f t="shared" si="122"/>
        <v>0</v>
      </c>
      <c r="K1338" s="724"/>
      <c r="L1338" s="728"/>
      <c r="M1338" s="724">
        <f t="shared" si="123"/>
        <v>0</v>
      </c>
      <c r="N1338" s="728"/>
      <c r="O1338" s="724">
        <f t="shared" si="124"/>
        <v>0</v>
      </c>
      <c r="P1338" s="724">
        <f t="shared" si="125"/>
        <v>0</v>
      </c>
      <c r="Q1338" s="674"/>
    </row>
    <row r="1339" spans="2:17">
      <c r="B1339" s="330"/>
      <c r="C1339" s="720">
        <f>IF(D1305="","-",+C1338+1)</f>
        <v>2043</v>
      </c>
      <c r="D1339" s="673">
        <f t="shared" si="126"/>
        <v>838093.05318181962</v>
      </c>
      <c r="E1339" s="726">
        <f t="shared" si="127"/>
        <v>49299.591363636362</v>
      </c>
      <c r="F1339" s="726">
        <f t="shared" si="120"/>
        <v>788793.46181818331</v>
      </c>
      <c r="G1339" s="673">
        <f t="shared" si="121"/>
        <v>813443.25750000146</v>
      </c>
      <c r="H1339" s="721">
        <f>+J1306*G1339+E1339</f>
        <v>174091.98634467841</v>
      </c>
      <c r="I1339" s="727">
        <f>+J1307*G1339+E1339</f>
        <v>174091.98634467841</v>
      </c>
      <c r="J1339" s="724">
        <f t="shared" si="122"/>
        <v>0</v>
      </c>
      <c r="K1339" s="724"/>
      <c r="L1339" s="728"/>
      <c r="M1339" s="724">
        <f t="shared" si="123"/>
        <v>0</v>
      </c>
      <c r="N1339" s="728"/>
      <c r="O1339" s="724">
        <f t="shared" si="124"/>
        <v>0</v>
      </c>
      <c r="P1339" s="724">
        <f t="shared" si="125"/>
        <v>0</v>
      </c>
      <c r="Q1339" s="674"/>
    </row>
    <row r="1340" spans="2:17">
      <c r="B1340" s="330"/>
      <c r="C1340" s="720">
        <f>IF(D1305="","-",+C1339+1)</f>
        <v>2044</v>
      </c>
      <c r="D1340" s="673">
        <f t="shared" si="126"/>
        <v>788793.46181818331</v>
      </c>
      <c r="E1340" s="726">
        <f t="shared" si="127"/>
        <v>49299.591363636362</v>
      </c>
      <c r="F1340" s="726">
        <f t="shared" si="120"/>
        <v>739493.870454547</v>
      </c>
      <c r="G1340" s="673">
        <f t="shared" si="121"/>
        <v>764143.66613636515</v>
      </c>
      <c r="H1340" s="721">
        <f>+J1306*G1340+E1340</f>
        <v>166528.81089128193</v>
      </c>
      <c r="I1340" s="727">
        <f>+J1307*G1340+E1340</f>
        <v>166528.81089128193</v>
      </c>
      <c r="J1340" s="724">
        <f t="shared" si="122"/>
        <v>0</v>
      </c>
      <c r="K1340" s="724"/>
      <c r="L1340" s="728"/>
      <c r="M1340" s="724">
        <f t="shared" si="123"/>
        <v>0</v>
      </c>
      <c r="N1340" s="728"/>
      <c r="O1340" s="724">
        <f t="shared" si="124"/>
        <v>0</v>
      </c>
      <c r="P1340" s="724">
        <f t="shared" si="125"/>
        <v>0</v>
      </c>
      <c r="Q1340" s="674"/>
    </row>
    <row r="1341" spans="2:17">
      <c r="B1341" s="330"/>
      <c r="C1341" s="720">
        <f>IF(D1305="","-",+C1340+1)</f>
        <v>2045</v>
      </c>
      <c r="D1341" s="673">
        <f t="shared" si="126"/>
        <v>739493.870454547</v>
      </c>
      <c r="E1341" s="726">
        <f t="shared" si="127"/>
        <v>49299.591363636362</v>
      </c>
      <c r="F1341" s="726">
        <f t="shared" si="120"/>
        <v>690194.27909091068</v>
      </c>
      <c r="G1341" s="673">
        <f t="shared" si="121"/>
        <v>714844.07477272884</v>
      </c>
      <c r="H1341" s="721">
        <f>+J1306*G1341+E1341</f>
        <v>158965.63543788547</v>
      </c>
      <c r="I1341" s="727">
        <f>+J1307*G1341+E1341</f>
        <v>158965.63543788547</v>
      </c>
      <c r="J1341" s="724">
        <f t="shared" si="122"/>
        <v>0</v>
      </c>
      <c r="K1341" s="724"/>
      <c r="L1341" s="728"/>
      <c r="M1341" s="724">
        <f t="shared" si="123"/>
        <v>0</v>
      </c>
      <c r="N1341" s="728"/>
      <c r="O1341" s="724">
        <f t="shared" si="124"/>
        <v>0</v>
      </c>
      <c r="P1341" s="724">
        <f t="shared" si="125"/>
        <v>0</v>
      </c>
      <c r="Q1341" s="674"/>
    </row>
    <row r="1342" spans="2:17">
      <c r="B1342" s="330"/>
      <c r="C1342" s="720">
        <f>IF(D1305="","-",+C1341+1)</f>
        <v>2046</v>
      </c>
      <c r="D1342" s="673">
        <f t="shared" si="126"/>
        <v>690194.27909091068</v>
      </c>
      <c r="E1342" s="726">
        <f t="shared" si="127"/>
        <v>49299.591363636362</v>
      </c>
      <c r="F1342" s="726">
        <f t="shared" si="120"/>
        <v>640894.68772727437</v>
      </c>
      <c r="G1342" s="673">
        <f t="shared" si="121"/>
        <v>665544.48340909253</v>
      </c>
      <c r="H1342" s="721">
        <f>+J1306*G1342+E1342</f>
        <v>151402.45998448902</v>
      </c>
      <c r="I1342" s="727">
        <f>+J1307*G1342+E1342</f>
        <v>151402.45998448902</v>
      </c>
      <c r="J1342" s="724">
        <f t="shared" si="122"/>
        <v>0</v>
      </c>
      <c r="K1342" s="724"/>
      <c r="L1342" s="728"/>
      <c r="M1342" s="724">
        <f t="shared" si="123"/>
        <v>0</v>
      </c>
      <c r="N1342" s="728"/>
      <c r="O1342" s="724">
        <f t="shared" si="124"/>
        <v>0</v>
      </c>
      <c r="P1342" s="724">
        <f t="shared" si="125"/>
        <v>0</v>
      </c>
      <c r="Q1342" s="674"/>
    </row>
    <row r="1343" spans="2:17">
      <c r="B1343" s="330"/>
      <c r="C1343" s="720">
        <f>IF(D1305="","-",+C1342+1)</f>
        <v>2047</v>
      </c>
      <c r="D1343" s="673">
        <f t="shared" si="126"/>
        <v>640894.68772727437</v>
      </c>
      <c r="E1343" s="726">
        <f t="shared" si="127"/>
        <v>49299.591363636362</v>
      </c>
      <c r="F1343" s="726">
        <f t="shared" si="120"/>
        <v>591595.09636363806</v>
      </c>
      <c r="G1343" s="673">
        <f t="shared" si="121"/>
        <v>616244.89204545622</v>
      </c>
      <c r="H1343" s="721">
        <f>+J1306*G1343+E1343</f>
        <v>143839.28453109253</v>
      </c>
      <c r="I1343" s="727">
        <f>+J1307*G1343+E1343</f>
        <v>143839.28453109253</v>
      </c>
      <c r="J1343" s="724">
        <f t="shared" si="122"/>
        <v>0</v>
      </c>
      <c r="K1343" s="724"/>
      <c r="L1343" s="728"/>
      <c r="M1343" s="724">
        <f t="shared" si="123"/>
        <v>0</v>
      </c>
      <c r="N1343" s="728"/>
      <c r="O1343" s="724">
        <f t="shared" si="124"/>
        <v>0</v>
      </c>
      <c r="P1343" s="724">
        <f t="shared" si="125"/>
        <v>0</v>
      </c>
      <c r="Q1343" s="674"/>
    </row>
    <row r="1344" spans="2:17">
      <c r="B1344" s="330"/>
      <c r="C1344" s="720">
        <f>IF(D1305="","-",+C1343+1)</f>
        <v>2048</v>
      </c>
      <c r="D1344" s="673">
        <f t="shared" si="126"/>
        <v>591595.09636363806</v>
      </c>
      <c r="E1344" s="726">
        <f t="shared" si="127"/>
        <v>49299.591363636362</v>
      </c>
      <c r="F1344" s="726">
        <f t="shared" si="120"/>
        <v>542295.50500000175</v>
      </c>
      <c r="G1344" s="673">
        <f t="shared" si="121"/>
        <v>566945.30068181991</v>
      </c>
      <c r="H1344" s="721">
        <f>+J1306*G1344+E1344</f>
        <v>136276.10907769608</v>
      </c>
      <c r="I1344" s="727">
        <f>+J1307*G1344+E1344</f>
        <v>136276.10907769608</v>
      </c>
      <c r="J1344" s="724">
        <f t="shared" si="122"/>
        <v>0</v>
      </c>
      <c r="K1344" s="724"/>
      <c r="L1344" s="728"/>
      <c r="M1344" s="724">
        <f t="shared" si="123"/>
        <v>0</v>
      </c>
      <c r="N1344" s="728"/>
      <c r="O1344" s="724">
        <f t="shared" si="124"/>
        <v>0</v>
      </c>
      <c r="P1344" s="724">
        <f t="shared" si="125"/>
        <v>0</v>
      </c>
      <c r="Q1344" s="674"/>
    </row>
    <row r="1345" spans="2:17">
      <c r="B1345" s="330"/>
      <c r="C1345" s="720">
        <f>IF(D1305="","-",+C1344+1)</f>
        <v>2049</v>
      </c>
      <c r="D1345" s="673">
        <f t="shared" si="126"/>
        <v>542295.50500000175</v>
      </c>
      <c r="E1345" s="726">
        <f t="shared" si="127"/>
        <v>49299.591363636362</v>
      </c>
      <c r="F1345" s="726">
        <f t="shared" si="120"/>
        <v>492995.91363636538</v>
      </c>
      <c r="G1345" s="673">
        <f t="shared" si="121"/>
        <v>517645.7093181836</v>
      </c>
      <c r="H1345" s="721">
        <f>+J1306*G1345+E1345</f>
        <v>128712.93362429962</v>
      </c>
      <c r="I1345" s="727">
        <f>+J1307*G1345+E1345</f>
        <v>128712.93362429962</v>
      </c>
      <c r="J1345" s="724">
        <f t="shared" si="122"/>
        <v>0</v>
      </c>
      <c r="K1345" s="724"/>
      <c r="L1345" s="728"/>
      <c r="M1345" s="724">
        <f t="shared" si="123"/>
        <v>0</v>
      </c>
      <c r="N1345" s="728"/>
      <c r="O1345" s="724">
        <f t="shared" si="124"/>
        <v>0</v>
      </c>
      <c r="P1345" s="724">
        <f t="shared" si="125"/>
        <v>0</v>
      </c>
      <c r="Q1345" s="674"/>
    </row>
    <row r="1346" spans="2:17">
      <c r="B1346" s="330"/>
      <c r="C1346" s="720">
        <f>IF(D1305="","-",+C1345+1)</f>
        <v>2050</v>
      </c>
      <c r="D1346" s="673">
        <f t="shared" si="126"/>
        <v>492995.91363636538</v>
      </c>
      <c r="E1346" s="726">
        <f t="shared" si="127"/>
        <v>49299.591363636362</v>
      </c>
      <c r="F1346" s="726">
        <f t="shared" si="120"/>
        <v>443696.32227272901</v>
      </c>
      <c r="G1346" s="673">
        <f t="shared" si="121"/>
        <v>468346.11795454717</v>
      </c>
      <c r="H1346" s="721">
        <f>+J1306*G1346+E1346</f>
        <v>121149.75817090314</v>
      </c>
      <c r="I1346" s="727">
        <f>+J1307*G1346+E1346</f>
        <v>121149.75817090314</v>
      </c>
      <c r="J1346" s="724">
        <f t="shared" si="122"/>
        <v>0</v>
      </c>
      <c r="K1346" s="724"/>
      <c r="L1346" s="728"/>
      <c r="M1346" s="724">
        <f t="shared" si="123"/>
        <v>0</v>
      </c>
      <c r="N1346" s="728"/>
      <c r="O1346" s="724">
        <f t="shared" si="124"/>
        <v>0</v>
      </c>
      <c r="P1346" s="724">
        <f t="shared" si="125"/>
        <v>0</v>
      </c>
      <c r="Q1346" s="674"/>
    </row>
    <row r="1347" spans="2:17">
      <c r="B1347" s="330"/>
      <c r="C1347" s="720">
        <f>IF(D1305="","-",+C1346+1)</f>
        <v>2051</v>
      </c>
      <c r="D1347" s="673">
        <f t="shared" si="126"/>
        <v>443696.32227272901</v>
      </c>
      <c r="E1347" s="726">
        <f t="shared" si="127"/>
        <v>49299.591363636362</v>
      </c>
      <c r="F1347" s="726">
        <f t="shared" si="120"/>
        <v>394396.73090909264</v>
      </c>
      <c r="G1347" s="673">
        <f t="shared" si="121"/>
        <v>419046.52659091086</v>
      </c>
      <c r="H1347" s="721">
        <f>+J1306*G1347+E1347</f>
        <v>113586.58271750665</v>
      </c>
      <c r="I1347" s="727">
        <f>+J1307*G1347+E1347</f>
        <v>113586.58271750665</v>
      </c>
      <c r="J1347" s="724">
        <f t="shared" si="122"/>
        <v>0</v>
      </c>
      <c r="K1347" s="724"/>
      <c r="L1347" s="728"/>
      <c r="M1347" s="724">
        <f t="shared" si="123"/>
        <v>0</v>
      </c>
      <c r="N1347" s="728"/>
      <c r="O1347" s="724">
        <f t="shared" si="124"/>
        <v>0</v>
      </c>
      <c r="P1347" s="724">
        <f t="shared" si="125"/>
        <v>0</v>
      </c>
      <c r="Q1347" s="674"/>
    </row>
    <row r="1348" spans="2:17">
      <c r="B1348" s="330"/>
      <c r="C1348" s="720">
        <f>IF(D1305="","-",+C1347+1)</f>
        <v>2052</v>
      </c>
      <c r="D1348" s="673">
        <f t="shared" si="126"/>
        <v>394396.73090909264</v>
      </c>
      <c r="E1348" s="726">
        <f t="shared" si="127"/>
        <v>49299.591363636362</v>
      </c>
      <c r="F1348" s="726">
        <f t="shared" si="120"/>
        <v>345097.13954545627</v>
      </c>
      <c r="G1348" s="673">
        <f t="shared" si="121"/>
        <v>369746.93522727443</v>
      </c>
      <c r="H1348" s="721">
        <f>+J1306*G1348+E1348</f>
        <v>106023.40726411017</v>
      </c>
      <c r="I1348" s="727">
        <f>+J1307*G1348+E1348</f>
        <v>106023.40726411017</v>
      </c>
      <c r="J1348" s="724">
        <f t="shared" si="122"/>
        <v>0</v>
      </c>
      <c r="K1348" s="724"/>
      <c r="L1348" s="728"/>
      <c r="M1348" s="724">
        <f t="shared" si="123"/>
        <v>0</v>
      </c>
      <c r="N1348" s="728"/>
      <c r="O1348" s="724">
        <f t="shared" si="124"/>
        <v>0</v>
      </c>
      <c r="P1348" s="724">
        <f t="shared" si="125"/>
        <v>0</v>
      </c>
      <c r="Q1348" s="674"/>
    </row>
    <row r="1349" spans="2:17">
      <c r="B1349" s="330"/>
      <c r="C1349" s="720">
        <f>IF(D1305="","-",+C1348+1)</f>
        <v>2053</v>
      </c>
      <c r="D1349" s="673">
        <f t="shared" si="126"/>
        <v>345097.13954545627</v>
      </c>
      <c r="E1349" s="726">
        <f t="shared" si="127"/>
        <v>49299.591363636362</v>
      </c>
      <c r="F1349" s="726">
        <f t="shared" si="120"/>
        <v>295797.5481818199</v>
      </c>
      <c r="G1349" s="673">
        <f t="shared" si="121"/>
        <v>320447.34386363812</v>
      </c>
      <c r="H1349" s="721">
        <f>+J1306*G1349+E1349</f>
        <v>98460.231810713711</v>
      </c>
      <c r="I1349" s="727">
        <f>+J1307*G1349+E1349</f>
        <v>98460.231810713711</v>
      </c>
      <c r="J1349" s="724">
        <f t="shared" si="122"/>
        <v>0</v>
      </c>
      <c r="K1349" s="724"/>
      <c r="L1349" s="728"/>
      <c r="M1349" s="724">
        <f t="shared" si="123"/>
        <v>0</v>
      </c>
      <c r="N1349" s="728"/>
      <c r="O1349" s="724">
        <f t="shared" si="124"/>
        <v>0</v>
      </c>
      <c r="P1349" s="724">
        <f t="shared" si="125"/>
        <v>0</v>
      </c>
      <c r="Q1349" s="674"/>
    </row>
    <row r="1350" spans="2:17">
      <c r="B1350" s="330"/>
      <c r="C1350" s="720">
        <f>IF(D1305="","-",+C1349+1)</f>
        <v>2054</v>
      </c>
      <c r="D1350" s="673">
        <f t="shared" si="126"/>
        <v>295797.5481818199</v>
      </c>
      <c r="E1350" s="726">
        <f t="shared" si="127"/>
        <v>49299.591363636362</v>
      </c>
      <c r="F1350" s="726">
        <f t="shared" si="120"/>
        <v>246497.95681818353</v>
      </c>
      <c r="G1350" s="673">
        <f t="shared" si="121"/>
        <v>271147.75250000169</v>
      </c>
      <c r="H1350" s="721">
        <f>+J1306*G1350+E1350</f>
        <v>90897.056357317226</v>
      </c>
      <c r="I1350" s="727">
        <f>+J1307*G1350+E1350</f>
        <v>90897.056357317226</v>
      </c>
      <c r="J1350" s="724">
        <f t="shared" si="122"/>
        <v>0</v>
      </c>
      <c r="K1350" s="724"/>
      <c r="L1350" s="728"/>
      <c r="M1350" s="724">
        <f t="shared" si="123"/>
        <v>0</v>
      </c>
      <c r="N1350" s="728"/>
      <c r="O1350" s="724">
        <f t="shared" si="124"/>
        <v>0</v>
      </c>
      <c r="P1350" s="724">
        <f t="shared" si="125"/>
        <v>0</v>
      </c>
      <c r="Q1350" s="674"/>
    </row>
    <row r="1351" spans="2:17">
      <c r="B1351" s="330"/>
      <c r="C1351" s="720">
        <f>IF(D1305="","-",+C1350+1)</f>
        <v>2055</v>
      </c>
      <c r="D1351" s="673">
        <f t="shared" si="126"/>
        <v>246497.95681818353</v>
      </c>
      <c r="E1351" s="726">
        <f t="shared" si="127"/>
        <v>49299.591363636362</v>
      </c>
      <c r="F1351" s="726">
        <f t="shared" si="120"/>
        <v>197198.36545454717</v>
      </c>
      <c r="G1351" s="673">
        <f t="shared" si="121"/>
        <v>221848.16113636535</v>
      </c>
      <c r="H1351" s="721">
        <f>+J1306*G1351+E1351</f>
        <v>83333.880903920755</v>
      </c>
      <c r="I1351" s="727">
        <f>+J1307*G1351+E1351</f>
        <v>83333.880903920755</v>
      </c>
      <c r="J1351" s="724">
        <f t="shared" si="122"/>
        <v>0</v>
      </c>
      <c r="K1351" s="724"/>
      <c r="L1351" s="728"/>
      <c r="M1351" s="724">
        <f t="shared" si="123"/>
        <v>0</v>
      </c>
      <c r="N1351" s="728"/>
      <c r="O1351" s="724">
        <f t="shared" si="124"/>
        <v>0</v>
      </c>
      <c r="P1351" s="724">
        <f t="shared" si="125"/>
        <v>0</v>
      </c>
      <c r="Q1351" s="674"/>
    </row>
    <row r="1352" spans="2:17">
      <c r="B1352" s="330"/>
      <c r="C1352" s="720">
        <f>IF(D1305="","-",+C1351+1)</f>
        <v>2056</v>
      </c>
      <c r="D1352" s="673">
        <f t="shared" si="126"/>
        <v>197198.36545454717</v>
      </c>
      <c r="E1352" s="726">
        <f t="shared" si="127"/>
        <v>49299.591363636362</v>
      </c>
      <c r="F1352" s="726">
        <f t="shared" si="120"/>
        <v>147898.7740909108</v>
      </c>
      <c r="G1352" s="673">
        <f t="shared" si="121"/>
        <v>172548.56977272898</v>
      </c>
      <c r="H1352" s="721">
        <f>+J1306*G1352+E1352</f>
        <v>75770.705450524285</v>
      </c>
      <c r="I1352" s="727">
        <f>+J1307*G1352+E1352</f>
        <v>75770.705450524285</v>
      </c>
      <c r="J1352" s="724">
        <f t="shared" si="122"/>
        <v>0</v>
      </c>
      <c r="K1352" s="724"/>
      <c r="L1352" s="728"/>
      <c r="M1352" s="724">
        <f t="shared" si="123"/>
        <v>0</v>
      </c>
      <c r="N1352" s="728"/>
      <c r="O1352" s="724">
        <f t="shared" si="124"/>
        <v>0</v>
      </c>
      <c r="P1352" s="724">
        <f t="shared" si="125"/>
        <v>0</v>
      </c>
      <c r="Q1352" s="674"/>
    </row>
    <row r="1353" spans="2:17">
      <c r="B1353" s="330"/>
      <c r="C1353" s="720">
        <f>IF(D1305="","-",+C1352+1)</f>
        <v>2057</v>
      </c>
      <c r="D1353" s="673">
        <f t="shared" si="126"/>
        <v>147898.7740909108</v>
      </c>
      <c r="E1353" s="726">
        <f t="shared" si="127"/>
        <v>49299.591363636362</v>
      </c>
      <c r="F1353" s="726">
        <f t="shared" si="120"/>
        <v>98599.182727274427</v>
      </c>
      <c r="G1353" s="673">
        <f t="shared" si="121"/>
        <v>123248.97840909261</v>
      </c>
      <c r="H1353" s="721">
        <f>+J1306*G1353+E1353</f>
        <v>68207.5299971278</v>
      </c>
      <c r="I1353" s="727">
        <f>+J1307*G1353+E1353</f>
        <v>68207.5299971278</v>
      </c>
      <c r="J1353" s="724">
        <f t="shared" si="122"/>
        <v>0</v>
      </c>
      <c r="K1353" s="724"/>
      <c r="L1353" s="728"/>
      <c r="M1353" s="724">
        <f t="shared" si="123"/>
        <v>0</v>
      </c>
      <c r="N1353" s="728"/>
      <c r="O1353" s="724">
        <f t="shared" si="124"/>
        <v>0</v>
      </c>
      <c r="P1353" s="724">
        <f t="shared" si="125"/>
        <v>0</v>
      </c>
      <c r="Q1353" s="674"/>
    </row>
    <row r="1354" spans="2:17">
      <c r="B1354" s="330"/>
      <c r="C1354" s="720">
        <f>IF(D1305="","-",+C1353+1)</f>
        <v>2058</v>
      </c>
      <c r="D1354" s="673">
        <f t="shared" si="126"/>
        <v>98599.182727274427</v>
      </c>
      <c r="E1354" s="726">
        <f t="shared" si="127"/>
        <v>49299.591363636362</v>
      </c>
      <c r="F1354" s="726">
        <f t="shared" si="120"/>
        <v>49299.591363638065</v>
      </c>
      <c r="G1354" s="673">
        <f t="shared" si="121"/>
        <v>73949.387045456242</v>
      </c>
      <c r="H1354" s="721">
        <f>+J1306*G1354+E1354</f>
        <v>60644.35454373133</v>
      </c>
      <c r="I1354" s="727">
        <f>+J1307*G1354+E1354</f>
        <v>60644.35454373133</v>
      </c>
      <c r="J1354" s="724">
        <f t="shared" si="122"/>
        <v>0</v>
      </c>
      <c r="K1354" s="724"/>
      <c r="L1354" s="728"/>
      <c r="M1354" s="724">
        <f t="shared" si="123"/>
        <v>0</v>
      </c>
      <c r="N1354" s="728"/>
      <c r="O1354" s="724">
        <f t="shared" si="124"/>
        <v>0</v>
      </c>
      <c r="P1354" s="724">
        <f t="shared" si="125"/>
        <v>0</v>
      </c>
      <c r="Q1354" s="674"/>
    </row>
    <row r="1355" spans="2:17">
      <c r="B1355" s="330"/>
      <c r="C1355" s="720">
        <f>IF(D1305="","-",+C1354+1)</f>
        <v>2059</v>
      </c>
      <c r="D1355" s="673">
        <f t="shared" si="126"/>
        <v>49299.591363638065</v>
      </c>
      <c r="E1355" s="726">
        <f t="shared" si="127"/>
        <v>49299.591363636362</v>
      </c>
      <c r="F1355" s="726">
        <f t="shared" si="120"/>
        <v>1.7025740817189217E-9</v>
      </c>
      <c r="G1355" s="673">
        <f t="shared" si="121"/>
        <v>24649.795681819884</v>
      </c>
      <c r="H1355" s="721">
        <f>+J1306*G1355+E1355</f>
        <v>53081.179090334859</v>
      </c>
      <c r="I1355" s="727">
        <f>+J1307*G1355+E1355</f>
        <v>53081.179090334859</v>
      </c>
      <c r="J1355" s="724">
        <f t="shared" si="122"/>
        <v>0</v>
      </c>
      <c r="K1355" s="724"/>
      <c r="L1355" s="728"/>
      <c r="M1355" s="724">
        <f t="shared" si="123"/>
        <v>0</v>
      </c>
      <c r="N1355" s="728"/>
      <c r="O1355" s="724">
        <f t="shared" si="124"/>
        <v>0</v>
      </c>
      <c r="P1355" s="724">
        <f t="shared" si="125"/>
        <v>0</v>
      </c>
      <c r="Q1355" s="674"/>
    </row>
    <row r="1356" spans="2:17">
      <c r="B1356" s="330"/>
      <c r="C1356" s="720">
        <f>IF(D1305="","-",+C1355+1)</f>
        <v>2060</v>
      </c>
      <c r="D1356" s="673">
        <f t="shared" si="126"/>
        <v>1.7025740817189217E-9</v>
      </c>
      <c r="E1356" s="726">
        <f t="shared" si="127"/>
        <v>1.7025740817189217E-9</v>
      </c>
      <c r="F1356" s="726">
        <f t="shared" si="120"/>
        <v>0</v>
      </c>
      <c r="G1356" s="673">
        <f t="shared" si="121"/>
        <v>8.5128704085946083E-10</v>
      </c>
      <c r="H1356" s="721">
        <f>+J1306*G1356+E1356</f>
        <v>1.8331721875679656E-9</v>
      </c>
      <c r="I1356" s="727">
        <f>+J1307*G1356+E1356</f>
        <v>1.8331721875679656E-9</v>
      </c>
      <c r="J1356" s="724">
        <f t="shared" si="122"/>
        <v>0</v>
      </c>
      <c r="K1356" s="724"/>
      <c r="L1356" s="728"/>
      <c r="M1356" s="724">
        <f t="shared" si="123"/>
        <v>0</v>
      </c>
      <c r="N1356" s="728"/>
      <c r="O1356" s="724">
        <f t="shared" si="124"/>
        <v>0</v>
      </c>
      <c r="P1356" s="724">
        <f t="shared" si="125"/>
        <v>0</v>
      </c>
      <c r="Q1356" s="674"/>
    </row>
    <row r="1357" spans="2:17">
      <c r="B1357" s="330"/>
      <c r="C1357" s="720">
        <f>IF(D1305="","-",+C1356+1)</f>
        <v>2061</v>
      </c>
      <c r="D1357" s="673">
        <f t="shared" si="126"/>
        <v>0</v>
      </c>
      <c r="E1357" s="726">
        <f t="shared" si="127"/>
        <v>0</v>
      </c>
      <c r="F1357" s="726">
        <f t="shared" si="120"/>
        <v>0</v>
      </c>
      <c r="G1357" s="673">
        <f t="shared" si="121"/>
        <v>0</v>
      </c>
      <c r="H1357" s="721">
        <f>+J1306*G1357+E1357</f>
        <v>0</v>
      </c>
      <c r="I1357" s="727">
        <f>+J1307*G1357+E1357</f>
        <v>0</v>
      </c>
      <c r="J1357" s="724">
        <f t="shared" si="122"/>
        <v>0</v>
      </c>
      <c r="K1357" s="724"/>
      <c r="L1357" s="728"/>
      <c r="M1357" s="724">
        <f t="shared" si="123"/>
        <v>0</v>
      </c>
      <c r="N1357" s="728"/>
      <c r="O1357" s="724">
        <f t="shared" si="124"/>
        <v>0</v>
      </c>
      <c r="P1357" s="724">
        <f t="shared" si="125"/>
        <v>0</v>
      </c>
      <c r="Q1357" s="674"/>
    </row>
    <row r="1358" spans="2:17">
      <c r="B1358" s="330"/>
      <c r="C1358" s="720">
        <f>IF(D1305="","-",+C1357+1)</f>
        <v>2062</v>
      </c>
      <c r="D1358" s="673">
        <f t="shared" si="126"/>
        <v>0</v>
      </c>
      <c r="E1358" s="726">
        <f t="shared" si="127"/>
        <v>0</v>
      </c>
      <c r="F1358" s="726">
        <f t="shared" si="120"/>
        <v>0</v>
      </c>
      <c r="G1358" s="673">
        <f t="shared" si="121"/>
        <v>0</v>
      </c>
      <c r="H1358" s="721">
        <f>+J1306*G1358+E1358</f>
        <v>0</v>
      </c>
      <c r="I1358" s="727">
        <f>+J1307*G1358+E1358</f>
        <v>0</v>
      </c>
      <c r="J1358" s="724">
        <f t="shared" si="122"/>
        <v>0</v>
      </c>
      <c r="K1358" s="724"/>
      <c r="L1358" s="728"/>
      <c r="M1358" s="724">
        <f t="shared" si="123"/>
        <v>0</v>
      </c>
      <c r="N1358" s="728"/>
      <c r="O1358" s="724">
        <f t="shared" si="124"/>
        <v>0</v>
      </c>
      <c r="P1358" s="724">
        <f t="shared" si="125"/>
        <v>0</v>
      </c>
      <c r="Q1358" s="674"/>
    </row>
    <row r="1359" spans="2:17">
      <c r="B1359" s="330"/>
      <c r="C1359" s="720">
        <f>IF(D1305="","-",+C1358+1)</f>
        <v>2063</v>
      </c>
      <c r="D1359" s="673">
        <f t="shared" si="126"/>
        <v>0</v>
      </c>
      <c r="E1359" s="726">
        <f t="shared" si="127"/>
        <v>0</v>
      </c>
      <c r="F1359" s="726">
        <f t="shared" si="120"/>
        <v>0</v>
      </c>
      <c r="G1359" s="673">
        <f t="shared" si="121"/>
        <v>0</v>
      </c>
      <c r="H1359" s="721">
        <f>+J1306*G1359+E1359</f>
        <v>0</v>
      </c>
      <c r="I1359" s="727">
        <f>+J1307*G1359+E1359</f>
        <v>0</v>
      </c>
      <c r="J1359" s="724">
        <f t="shared" si="122"/>
        <v>0</v>
      </c>
      <c r="K1359" s="724"/>
      <c r="L1359" s="728"/>
      <c r="M1359" s="724">
        <f t="shared" si="123"/>
        <v>0</v>
      </c>
      <c r="N1359" s="728"/>
      <c r="O1359" s="724">
        <f t="shared" si="124"/>
        <v>0</v>
      </c>
      <c r="P1359" s="724">
        <f t="shared" si="125"/>
        <v>0</v>
      </c>
      <c r="Q1359" s="674"/>
    </row>
    <row r="1360" spans="2:17">
      <c r="B1360" s="330"/>
      <c r="C1360" s="720">
        <f>IF(D1305="","-",+C1359+1)</f>
        <v>2064</v>
      </c>
      <c r="D1360" s="673">
        <f t="shared" si="126"/>
        <v>0</v>
      </c>
      <c r="E1360" s="726">
        <f t="shared" si="127"/>
        <v>0</v>
      </c>
      <c r="F1360" s="726">
        <f t="shared" si="120"/>
        <v>0</v>
      </c>
      <c r="G1360" s="673">
        <f t="shared" si="121"/>
        <v>0</v>
      </c>
      <c r="H1360" s="721">
        <f>+J1306*G1360+E1360</f>
        <v>0</v>
      </c>
      <c r="I1360" s="727">
        <f>+J1307*G1360+E1360</f>
        <v>0</v>
      </c>
      <c r="J1360" s="724">
        <f t="shared" si="122"/>
        <v>0</v>
      </c>
      <c r="K1360" s="724"/>
      <c r="L1360" s="728"/>
      <c r="M1360" s="724">
        <f t="shared" si="123"/>
        <v>0</v>
      </c>
      <c r="N1360" s="728"/>
      <c r="O1360" s="724">
        <f t="shared" si="124"/>
        <v>0</v>
      </c>
      <c r="P1360" s="724">
        <f t="shared" si="125"/>
        <v>0</v>
      </c>
      <c r="Q1360" s="674"/>
    </row>
    <row r="1361" spans="2:17">
      <c r="B1361" s="330"/>
      <c r="C1361" s="720">
        <f>IF(D1305="","-",+C1360+1)</f>
        <v>2065</v>
      </c>
      <c r="D1361" s="673">
        <f t="shared" si="126"/>
        <v>0</v>
      </c>
      <c r="E1361" s="726">
        <f t="shared" si="127"/>
        <v>0</v>
      </c>
      <c r="F1361" s="726">
        <f t="shared" si="120"/>
        <v>0</v>
      </c>
      <c r="G1361" s="673">
        <f t="shared" si="121"/>
        <v>0</v>
      </c>
      <c r="H1361" s="721">
        <f>+J1306*G1361+E1361</f>
        <v>0</v>
      </c>
      <c r="I1361" s="727">
        <f>+J1307*G1361+E1361</f>
        <v>0</v>
      </c>
      <c r="J1361" s="724">
        <f t="shared" si="122"/>
        <v>0</v>
      </c>
      <c r="K1361" s="724"/>
      <c r="L1361" s="728"/>
      <c r="M1361" s="724">
        <f t="shared" si="123"/>
        <v>0</v>
      </c>
      <c r="N1361" s="728"/>
      <c r="O1361" s="724">
        <f t="shared" si="124"/>
        <v>0</v>
      </c>
      <c r="P1361" s="724">
        <f t="shared" si="125"/>
        <v>0</v>
      </c>
      <c r="Q1361" s="674"/>
    </row>
    <row r="1362" spans="2:17">
      <c r="B1362" s="330"/>
      <c r="C1362" s="720">
        <f>IF(D1305="","-",+C1361+1)</f>
        <v>2066</v>
      </c>
      <c r="D1362" s="673">
        <f t="shared" si="126"/>
        <v>0</v>
      </c>
      <c r="E1362" s="726">
        <f t="shared" si="127"/>
        <v>0</v>
      </c>
      <c r="F1362" s="726">
        <f t="shared" si="120"/>
        <v>0</v>
      </c>
      <c r="G1362" s="673">
        <f t="shared" si="121"/>
        <v>0</v>
      </c>
      <c r="H1362" s="721">
        <f>+J1306*G1362+E1362</f>
        <v>0</v>
      </c>
      <c r="I1362" s="727">
        <f>+J1307*G1362+E1362</f>
        <v>0</v>
      </c>
      <c r="J1362" s="724">
        <f t="shared" si="122"/>
        <v>0</v>
      </c>
      <c r="K1362" s="724"/>
      <c r="L1362" s="728"/>
      <c r="M1362" s="724">
        <f t="shared" si="123"/>
        <v>0</v>
      </c>
      <c r="N1362" s="728"/>
      <c r="O1362" s="724">
        <f t="shared" si="124"/>
        <v>0</v>
      </c>
      <c r="P1362" s="724">
        <f t="shared" si="125"/>
        <v>0</v>
      </c>
      <c r="Q1362" s="674"/>
    </row>
    <row r="1363" spans="2:17">
      <c r="B1363" s="330"/>
      <c r="C1363" s="720">
        <f>IF(D1305="","-",+C1362+1)</f>
        <v>2067</v>
      </c>
      <c r="D1363" s="673">
        <f t="shared" si="126"/>
        <v>0</v>
      </c>
      <c r="E1363" s="726">
        <f t="shared" si="127"/>
        <v>0</v>
      </c>
      <c r="F1363" s="726">
        <f t="shared" si="120"/>
        <v>0</v>
      </c>
      <c r="G1363" s="673">
        <f t="shared" si="121"/>
        <v>0</v>
      </c>
      <c r="H1363" s="721">
        <f>+J1306*G1363+E1363</f>
        <v>0</v>
      </c>
      <c r="I1363" s="727">
        <f>+J1307*G1363+E1363</f>
        <v>0</v>
      </c>
      <c r="J1363" s="724">
        <f t="shared" si="122"/>
        <v>0</v>
      </c>
      <c r="K1363" s="724"/>
      <c r="L1363" s="728"/>
      <c r="M1363" s="724">
        <f t="shared" si="123"/>
        <v>0</v>
      </c>
      <c r="N1363" s="728"/>
      <c r="O1363" s="724">
        <f t="shared" si="124"/>
        <v>0</v>
      </c>
      <c r="P1363" s="724">
        <f t="shared" si="125"/>
        <v>0</v>
      </c>
      <c r="Q1363" s="674"/>
    </row>
    <row r="1364" spans="2:17">
      <c r="B1364" s="330"/>
      <c r="C1364" s="720">
        <f>IF(D1305="","-",+C1363+1)</f>
        <v>2068</v>
      </c>
      <c r="D1364" s="673">
        <f t="shared" si="126"/>
        <v>0</v>
      </c>
      <c r="E1364" s="726">
        <f t="shared" si="127"/>
        <v>0</v>
      </c>
      <c r="F1364" s="726">
        <f t="shared" si="120"/>
        <v>0</v>
      </c>
      <c r="G1364" s="673">
        <f t="shared" si="121"/>
        <v>0</v>
      </c>
      <c r="H1364" s="721">
        <f>+J1306*G1364+E1364</f>
        <v>0</v>
      </c>
      <c r="I1364" s="727">
        <f>+J1307*G1364+E1364</f>
        <v>0</v>
      </c>
      <c r="J1364" s="724">
        <f t="shared" si="122"/>
        <v>0</v>
      </c>
      <c r="K1364" s="724"/>
      <c r="L1364" s="728"/>
      <c r="M1364" s="724">
        <f t="shared" si="123"/>
        <v>0</v>
      </c>
      <c r="N1364" s="728"/>
      <c r="O1364" s="724">
        <f t="shared" si="124"/>
        <v>0</v>
      </c>
      <c r="P1364" s="724">
        <f t="shared" si="125"/>
        <v>0</v>
      </c>
      <c r="Q1364" s="674"/>
    </row>
    <row r="1365" spans="2:17">
      <c r="B1365" s="330"/>
      <c r="C1365" s="720">
        <f>IF(D1305="","-",+C1364+1)</f>
        <v>2069</v>
      </c>
      <c r="D1365" s="673">
        <f t="shared" si="126"/>
        <v>0</v>
      </c>
      <c r="E1365" s="726">
        <f t="shared" si="127"/>
        <v>0</v>
      </c>
      <c r="F1365" s="726">
        <f t="shared" si="120"/>
        <v>0</v>
      </c>
      <c r="G1365" s="673">
        <f t="shared" si="121"/>
        <v>0</v>
      </c>
      <c r="H1365" s="721">
        <f>+J1306*G1365+E1365</f>
        <v>0</v>
      </c>
      <c r="I1365" s="727">
        <f>+J1307*G1365+E1365</f>
        <v>0</v>
      </c>
      <c r="J1365" s="724">
        <f t="shared" si="122"/>
        <v>0</v>
      </c>
      <c r="K1365" s="724"/>
      <c r="L1365" s="728"/>
      <c r="M1365" s="724">
        <f t="shared" si="123"/>
        <v>0</v>
      </c>
      <c r="N1365" s="728"/>
      <c r="O1365" s="724">
        <f t="shared" si="124"/>
        <v>0</v>
      </c>
      <c r="P1365" s="724">
        <f t="shared" si="125"/>
        <v>0</v>
      </c>
      <c r="Q1365" s="674"/>
    </row>
    <row r="1366" spans="2:17">
      <c r="B1366" s="330"/>
      <c r="C1366" s="720">
        <f>IF(D1305="","-",+C1365+1)</f>
        <v>2070</v>
      </c>
      <c r="D1366" s="673">
        <f t="shared" si="126"/>
        <v>0</v>
      </c>
      <c r="E1366" s="726">
        <f t="shared" si="127"/>
        <v>0</v>
      </c>
      <c r="F1366" s="726">
        <f t="shared" si="120"/>
        <v>0</v>
      </c>
      <c r="G1366" s="673">
        <f t="shared" si="121"/>
        <v>0</v>
      </c>
      <c r="H1366" s="721">
        <f>+J1306*G1366+E1366</f>
        <v>0</v>
      </c>
      <c r="I1366" s="727">
        <f>+J1307*G1366+E1366</f>
        <v>0</v>
      </c>
      <c r="J1366" s="724">
        <f t="shared" si="122"/>
        <v>0</v>
      </c>
      <c r="K1366" s="724"/>
      <c r="L1366" s="728"/>
      <c r="M1366" s="724">
        <f t="shared" si="123"/>
        <v>0</v>
      </c>
      <c r="N1366" s="728"/>
      <c r="O1366" s="724">
        <f t="shared" si="124"/>
        <v>0</v>
      </c>
      <c r="P1366" s="724">
        <f t="shared" si="125"/>
        <v>0</v>
      </c>
      <c r="Q1366" s="674"/>
    </row>
    <row r="1367" spans="2:17">
      <c r="B1367" s="330"/>
      <c r="C1367" s="720">
        <f>IF(D1305="","-",+C1366+1)</f>
        <v>2071</v>
      </c>
      <c r="D1367" s="673">
        <f t="shared" si="126"/>
        <v>0</v>
      </c>
      <c r="E1367" s="726">
        <f t="shared" si="127"/>
        <v>0</v>
      </c>
      <c r="F1367" s="726">
        <f t="shared" si="120"/>
        <v>0</v>
      </c>
      <c r="G1367" s="673">
        <f t="shared" si="121"/>
        <v>0</v>
      </c>
      <c r="H1367" s="721">
        <f>+J1306*G1367+E1367</f>
        <v>0</v>
      </c>
      <c r="I1367" s="727">
        <f>+J1307*G1367+E1367</f>
        <v>0</v>
      </c>
      <c r="J1367" s="724">
        <f t="shared" si="122"/>
        <v>0</v>
      </c>
      <c r="K1367" s="724"/>
      <c r="L1367" s="728"/>
      <c r="M1367" s="724">
        <f t="shared" si="123"/>
        <v>0</v>
      </c>
      <c r="N1367" s="728"/>
      <c r="O1367" s="724">
        <f t="shared" si="124"/>
        <v>0</v>
      </c>
      <c r="P1367" s="724">
        <f t="shared" si="125"/>
        <v>0</v>
      </c>
      <c r="Q1367" s="674"/>
    </row>
    <row r="1368" spans="2:17">
      <c r="B1368" s="330"/>
      <c r="C1368" s="720">
        <f>IF(D1305="","-",+C1367+1)</f>
        <v>2072</v>
      </c>
      <c r="D1368" s="673">
        <f t="shared" si="126"/>
        <v>0</v>
      </c>
      <c r="E1368" s="726">
        <f t="shared" si="127"/>
        <v>0</v>
      </c>
      <c r="F1368" s="726">
        <f t="shared" si="120"/>
        <v>0</v>
      </c>
      <c r="G1368" s="673">
        <f t="shared" si="121"/>
        <v>0</v>
      </c>
      <c r="H1368" s="721">
        <f>+J1306*G1368+E1368</f>
        <v>0</v>
      </c>
      <c r="I1368" s="727">
        <f>+J1307*G1368+E1368</f>
        <v>0</v>
      </c>
      <c r="J1368" s="724">
        <f t="shared" si="122"/>
        <v>0</v>
      </c>
      <c r="K1368" s="724"/>
      <c r="L1368" s="728"/>
      <c r="M1368" s="724">
        <f t="shared" si="123"/>
        <v>0</v>
      </c>
      <c r="N1368" s="728"/>
      <c r="O1368" s="724">
        <f t="shared" si="124"/>
        <v>0</v>
      </c>
      <c r="P1368" s="724">
        <f t="shared" si="125"/>
        <v>0</v>
      </c>
      <c r="Q1368" s="674"/>
    </row>
    <row r="1369" spans="2:17">
      <c r="B1369" s="330"/>
      <c r="C1369" s="720">
        <f>IF(D1305="","-",+C1368+1)</f>
        <v>2073</v>
      </c>
      <c r="D1369" s="673">
        <f t="shared" si="126"/>
        <v>0</v>
      </c>
      <c r="E1369" s="726">
        <f t="shared" si="127"/>
        <v>0</v>
      </c>
      <c r="F1369" s="726">
        <f t="shared" si="120"/>
        <v>0</v>
      </c>
      <c r="G1369" s="673">
        <f t="shared" si="121"/>
        <v>0</v>
      </c>
      <c r="H1369" s="721">
        <f>+J1306*G1369+E1369</f>
        <v>0</v>
      </c>
      <c r="I1369" s="727">
        <f>+J1307*G1369+E1369</f>
        <v>0</v>
      </c>
      <c r="J1369" s="724">
        <f t="shared" si="122"/>
        <v>0</v>
      </c>
      <c r="K1369" s="724"/>
      <c r="L1369" s="728"/>
      <c r="M1369" s="724">
        <f t="shared" si="123"/>
        <v>0</v>
      </c>
      <c r="N1369" s="728"/>
      <c r="O1369" s="724">
        <f t="shared" si="124"/>
        <v>0</v>
      </c>
      <c r="P1369" s="724">
        <f t="shared" si="125"/>
        <v>0</v>
      </c>
      <c r="Q1369" s="674"/>
    </row>
    <row r="1370" spans="2:17" ht="13.5" thickBot="1">
      <c r="B1370" s="330"/>
      <c r="C1370" s="730">
        <f>IF(D1305="","-",+C1369+1)</f>
        <v>2074</v>
      </c>
      <c r="D1370" s="731">
        <f t="shared" si="126"/>
        <v>0</v>
      </c>
      <c r="E1370" s="1309">
        <f t="shared" si="127"/>
        <v>0</v>
      </c>
      <c r="F1370" s="732">
        <f t="shared" si="120"/>
        <v>0</v>
      </c>
      <c r="G1370" s="731">
        <f t="shared" si="121"/>
        <v>0</v>
      </c>
      <c r="H1370" s="733">
        <f>+J1306*G1370+E1370</f>
        <v>0</v>
      </c>
      <c r="I1370" s="733">
        <f>+J1307*G1370+E1370</f>
        <v>0</v>
      </c>
      <c r="J1370" s="734">
        <f t="shared" si="122"/>
        <v>0</v>
      </c>
      <c r="K1370" s="724"/>
      <c r="L1370" s="735"/>
      <c r="M1370" s="734">
        <f t="shared" si="123"/>
        <v>0</v>
      </c>
      <c r="N1370" s="735"/>
      <c r="O1370" s="734">
        <f t="shared" si="124"/>
        <v>0</v>
      </c>
      <c r="P1370" s="734">
        <f t="shared" si="125"/>
        <v>0</v>
      </c>
      <c r="Q1370" s="674"/>
    </row>
    <row r="1371" spans="2:17">
      <c r="B1371" s="330"/>
      <c r="C1371" s="673" t="s">
        <v>288</v>
      </c>
      <c r="D1371" s="669"/>
      <c r="E1371" s="669">
        <f>SUM(E1311:E1370)</f>
        <v>2169182.0200000005</v>
      </c>
      <c r="F1371" s="669"/>
      <c r="G1371" s="669"/>
      <c r="H1371" s="669">
        <f>SUM(H1311:H1370)</f>
        <v>9823115.5788372327</v>
      </c>
      <c r="I1371" s="669">
        <f>SUM(I1311:I1370)</f>
        <v>9823115.5788372327</v>
      </c>
      <c r="J1371" s="669">
        <f>SUM(J1311:J1370)</f>
        <v>0</v>
      </c>
      <c r="K1371" s="669"/>
      <c r="L1371" s="669"/>
      <c r="M1371" s="669"/>
      <c r="N1371" s="669"/>
      <c r="O1371" s="669"/>
      <c r="Q1371" s="669"/>
    </row>
    <row r="1372" spans="2:17">
      <c r="B1372" s="330"/>
      <c r="D1372" s="563"/>
      <c r="E1372" s="542"/>
      <c r="F1372" s="542"/>
      <c r="G1372" s="542"/>
      <c r="H1372" s="542"/>
      <c r="I1372" s="646"/>
      <c r="J1372" s="646"/>
      <c r="K1372" s="669"/>
      <c r="L1372" s="646"/>
      <c r="M1372" s="646"/>
      <c r="N1372" s="646"/>
      <c r="O1372" s="646"/>
      <c r="Q1372" s="669"/>
    </row>
    <row r="1373" spans="2:17">
      <c r="B1373" s="330"/>
      <c r="C1373" s="542" t="s">
        <v>595</v>
      </c>
      <c r="D1373" s="563"/>
      <c r="E1373" s="542"/>
      <c r="F1373" s="542"/>
      <c r="G1373" s="542"/>
      <c r="H1373" s="542"/>
      <c r="I1373" s="646"/>
      <c r="J1373" s="646"/>
      <c r="K1373" s="669"/>
      <c r="L1373" s="646"/>
      <c r="M1373" s="646"/>
      <c r="N1373" s="646"/>
      <c r="O1373" s="646"/>
      <c r="Q1373" s="669"/>
    </row>
    <row r="1374" spans="2:17">
      <c r="B1374" s="330"/>
      <c r="D1374" s="563"/>
      <c r="E1374" s="542"/>
      <c r="F1374" s="542"/>
      <c r="G1374" s="542"/>
      <c r="H1374" s="542"/>
      <c r="I1374" s="646"/>
      <c r="J1374" s="646"/>
      <c r="K1374" s="669"/>
      <c r="L1374" s="646"/>
      <c r="M1374" s="646"/>
      <c r="N1374" s="646"/>
      <c r="O1374" s="646"/>
      <c r="Q1374" s="669"/>
    </row>
    <row r="1375" spans="2:17">
      <c r="B1375" s="330"/>
      <c r="C1375" s="576" t="s">
        <v>596</v>
      </c>
      <c r="D1375" s="673"/>
      <c r="E1375" s="673"/>
      <c r="F1375" s="673"/>
      <c r="G1375" s="673"/>
      <c r="H1375" s="669"/>
      <c r="I1375" s="669"/>
      <c r="J1375" s="674"/>
      <c r="K1375" s="674"/>
      <c r="L1375" s="674"/>
      <c r="M1375" s="674"/>
      <c r="N1375" s="674"/>
      <c r="O1375" s="674"/>
      <c r="Q1375" s="674"/>
    </row>
    <row r="1376" spans="2:17">
      <c r="B1376" s="330"/>
      <c r="C1376" s="576" t="s">
        <v>476</v>
      </c>
      <c r="D1376" s="673"/>
      <c r="E1376" s="673"/>
      <c r="F1376" s="673"/>
      <c r="G1376" s="673"/>
      <c r="H1376" s="669"/>
      <c r="I1376" s="669"/>
      <c r="J1376" s="674"/>
      <c r="K1376" s="674"/>
      <c r="L1376" s="674"/>
      <c r="M1376" s="674"/>
      <c r="N1376" s="674"/>
      <c r="O1376" s="674"/>
      <c r="Q1376" s="674"/>
    </row>
    <row r="1377" spans="1:17">
      <c r="B1377" s="330"/>
      <c r="C1377" s="576" t="s">
        <v>289</v>
      </c>
      <c r="D1377" s="673"/>
      <c r="E1377" s="673"/>
      <c r="F1377" s="673"/>
      <c r="G1377" s="673"/>
      <c r="H1377" s="669"/>
      <c r="I1377" s="669"/>
      <c r="J1377" s="674"/>
      <c r="K1377" s="674"/>
      <c r="L1377" s="674"/>
      <c r="M1377" s="674"/>
      <c r="N1377" s="674"/>
      <c r="O1377" s="674"/>
      <c r="Q1377" s="674"/>
    </row>
    <row r="1378" spans="1:17" ht="20.25">
      <c r="A1378" s="675" t="s">
        <v>764</v>
      </c>
      <c r="B1378" s="542"/>
      <c r="C1378" s="655"/>
      <c r="D1378" s="563"/>
      <c r="E1378" s="542"/>
      <c r="F1378" s="645"/>
      <c r="G1378" s="645"/>
      <c r="H1378" s="542"/>
      <c r="I1378" s="646"/>
      <c r="L1378" s="676"/>
      <c r="M1378" s="676"/>
      <c r="N1378" s="676"/>
      <c r="O1378" s="591" t="str">
        <f>"Page "&amp;SUM(Q$3:Q1378)&amp;" of "</f>
        <v xml:space="preserve">Page 17 of </v>
      </c>
      <c r="P1378" s="592">
        <f>COUNT(Q$8:Q$58212)</f>
        <v>23</v>
      </c>
      <c r="Q1378" s="756">
        <v>1</v>
      </c>
    </row>
    <row r="1379" spans="1:17">
      <c r="B1379" s="542"/>
      <c r="C1379" s="542"/>
      <c r="D1379" s="563"/>
      <c r="E1379" s="542"/>
      <c r="F1379" s="542"/>
      <c r="G1379" s="542"/>
      <c r="H1379" s="542"/>
      <c r="I1379" s="646"/>
      <c r="J1379" s="542"/>
      <c r="K1379" s="588"/>
      <c r="Q1379" s="588"/>
    </row>
    <row r="1380" spans="1:17" ht="18">
      <c r="B1380" s="595" t="s">
        <v>174</v>
      </c>
      <c r="C1380" s="677" t="s">
        <v>290</v>
      </c>
      <c r="D1380" s="563"/>
      <c r="E1380" s="542"/>
      <c r="F1380" s="542"/>
      <c r="G1380" s="542"/>
      <c r="H1380" s="542"/>
      <c r="I1380" s="646"/>
      <c r="J1380" s="646"/>
      <c r="K1380" s="669"/>
      <c r="L1380" s="646"/>
      <c r="M1380" s="646"/>
      <c r="N1380" s="646"/>
      <c r="O1380" s="646"/>
      <c r="Q1380" s="669"/>
    </row>
    <row r="1381" spans="1:17" ht="18.75">
      <c r="B1381" s="595"/>
      <c r="C1381" s="594"/>
      <c r="D1381" s="563"/>
      <c r="E1381" s="542"/>
      <c r="F1381" s="542"/>
      <c r="G1381" s="542"/>
      <c r="H1381" s="542"/>
      <c r="I1381" s="646"/>
      <c r="J1381" s="646"/>
      <c r="K1381" s="669"/>
      <c r="L1381" s="646"/>
      <c r="M1381" s="646"/>
      <c r="N1381" s="646"/>
      <c r="O1381" s="646"/>
      <c r="Q1381" s="669"/>
    </row>
    <row r="1382" spans="1:17" ht="18.75">
      <c r="B1382" s="595"/>
      <c r="C1382" s="594" t="s">
        <v>291</v>
      </c>
      <c r="D1382" s="563"/>
      <c r="E1382" s="542"/>
      <c r="F1382" s="542"/>
      <c r="G1382" s="542"/>
      <c r="H1382" s="542"/>
      <c r="I1382" s="646"/>
      <c r="J1382" s="646"/>
      <c r="K1382" s="669"/>
      <c r="L1382" s="646"/>
      <c r="M1382" s="646"/>
      <c r="N1382" s="646"/>
      <c r="O1382" s="646"/>
      <c r="Q1382" s="669"/>
    </row>
    <row r="1383" spans="1:17" ht="15.75" thickBot="1">
      <c r="B1383" s="330"/>
      <c r="C1383" s="396"/>
      <c r="D1383" s="563"/>
      <c r="E1383" s="542"/>
      <c r="F1383" s="542"/>
      <c r="G1383" s="542"/>
      <c r="H1383" s="542"/>
      <c r="I1383" s="646"/>
      <c r="J1383" s="646"/>
      <c r="K1383" s="669"/>
      <c r="L1383" s="646"/>
      <c r="M1383" s="646"/>
      <c r="N1383" s="646"/>
      <c r="O1383" s="646"/>
      <c r="Q1383" s="669"/>
    </row>
    <row r="1384" spans="1:17" ht="15.75">
      <c r="B1384" s="330"/>
      <c r="C1384" s="596" t="s">
        <v>292</v>
      </c>
      <c r="D1384" s="563"/>
      <c r="E1384" s="542"/>
      <c r="F1384" s="542"/>
      <c r="G1384" s="542"/>
      <c r="H1384" s="864"/>
      <c r="I1384" s="542" t="s">
        <v>271</v>
      </c>
      <c r="J1384" s="542"/>
      <c r="K1384" s="588"/>
      <c r="L1384" s="757">
        <f>+J1390</f>
        <v>2021</v>
      </c>
      <c r="M1384" s="739" t="s">
        <v>254</v>
      </c>
      <c r="N1384" s="739" t="s">
        <v>255</v>
      </c>
      <c r="O1384" s="740" t="s">
        <v>256</v>
      </c>
      <c r="Q1384" s="588"/>
    </row>
    <row r="1385" spans="1:17" ht="15.75">
      <c r="B1385" s="330"/>
      <c r="C1385" s="596"/>
      <c r="D1385" s="563"/>
      <c r="E1385" s="542"/>
      <c r="F1385" s="542"/>
      <c r="H1385" s="542"/>
      <c r="I1385" s="681"/>
      <c r="J1385" s="681"/>
      <c r="K1385" s="682"/>
      <c r="L1385" s="758" t="s">
        <v>455</v>
      </c>
      <c r="M1385" s="759">
        <f>VLOOKUP(J1390,C1397:P1456,10)</f>
        <v>91970.565562066244</v>
      </c>
      <c r="N1385" s="759">
        <f>VLOOKUP(J1390,C1397:P1456,12)</f>
        <v>91970.565562066244</v>
      </c>
      <c r="O1385" s="760">
        <f>+N1385-M1385</f>
        <v>0</v>
      </c>
      <c r="Q1385" s="682"/>
    </row>
    <row r="1386" spans="1:17">
      <c r="B1386" s="330"/>
      <c r="C1386" s="684" t="s">
        <v>293</v>
      </c>
      <c r="D1386" s="1703" t="s">
        <v>963</v>
      </c>
      <c r="E1386" s="1703"/>
      <c r="F1386" s="1703"/>
      <c r="G1386" s="1703"/>
      <c r="H1386" s="1703"/>
      <c r="I1386" s="1703"/>
      <c r="J1386" s="646"/>
      <c r="K1386" s="669"/>
      <c r="L1386" s="758" t="s">
        <v>456</v>
      </c>
      <c r="M1386" s="761">
        <f>VLOOKUP(J1390,C1397:P1456,6)</f>
        <v>97436.048047215823</v>
      </c>
      <c r="N1386" s="761">
        <f>VLOOKUP(J1390,C1397:P1456,7)</f>
        <v>97436.048047215823</v>
      </c>
      <c r="O1386" s="762">
        <f>+N1386-M1386</f>
        <v>0</v>
      </c>
      <c r="Q1386" s="669"/>
    </row>
    <row r="1387" spans="1:17" ht="13.5" thickBot="1">
      <c r="B1387" s="330"/>
      <c r="C1387" s="686"/>
      <c r="D1387" s="690" t="s">
        <v>114</v>
      </c>
      <c r="E1387" s="688"/>
      <c r="F1387" s="688"/>
      <c r="G1387" s="688"/>
      <c r="H1387" s="688"/>
      <c r="I1387" s="688"/>
      <c r="J1387" s="646"/>
      <c r="K1387" s="669"/>
      <c r="L1387" s="705" t="s">
        <v>457</v>
      </c>
      <c r="M1387" s="763">
        <f>+M1386-M1385</f>
        <v>5465.4824851495796</v>
      </c>
      <c r="N1387" s="763">
        <f>+N1386-N1385</f>
        <v>5465.4824851495796</v>
      </c>
      <c r="O1387" s="764">
        <f>+O1386-O1385</f>
        <v>0</v>
      </c>
      <c r="Q1387" s="669"/>
    </row>
    <row r="1388" spans="1:17" ht="13.5" thickBot="1">
      <c r="B1388" s="330"/>
      <c r="C1388" s="689"/>
      <c r="D1388" s="690"/>
      <c r="E1388" s="688"/>
      <c r="F1388" s="688"/>
      <c r="G1388" s="688"/>
      <c r="H1388" s="688"/>
      <c r="I1388" s="688"/>
      <c r="J1388" s="688"/>
      <c r="K1388" s="691"/>
      <c r="L1388" s="688"/>
      <c r="M1388" s="688"/>
      <c r="N1388" s="688"/>
      <c r="O1388" s="688"/>
      <c r="P1388" s="576"/>
      <c r="Q1388" s="691"/>
    </row>
    <row r="1389" spans="1:17" ht="13.5" thickBot="1">
      <c r="B1389" s="330"/>
      <c r="C1389" s="692" t="s">
        <v>294</v>
      </c>
      <c r="D1389" s="693"/>
      <c r="E1389" s="693"/>
      <c r="F1389" s="693"/>
      <c r="G1389" s="693"/>
      <c r="H1389" s="693"/>
      <c r="I1389" s="693"/>
      <c r="J1389" s="693"/>
      <c r="K1389" s="695"/>
      <c r="P1389" s="696"/>
      <c r="Q1389" s="695"/>
    </row>
    <row r="1390" spans="1:17" ht="15">
      <c r="A1390" s="1310"/>
      <c r="B1390" s="330"/>
      <c r="C1390" s="697" t="s">
        <v>272</v>
      </c>
      <c r="D1390" s="1253">
        <v>620757.1</v>
      </c>
      <c r="E1390" s="655" t="s">
        <v>273</v>
      </c>
      <c r="H1390" s="698"/>
      <c r="I1390" s="698"/>
      <c r="J1390" s="1451">
        <f>$J$95</f>
        <v>2021</v>
      </c>
      <c r="K1390" s="586"/>
      <c r="L1390" s="1717" t="s">
        <v>274</v>
      </c>
      <c r="M1390" s="1717"/>
      <c r="N1390" s="1717"/>
      <c r="O1390" s="1717"/>
      <c r="P1390" s="588"/>
      <c r="Q1390" s="586"/>
    </row>
    <row r="1391" spans="1:17">
      <c r="A1391" s="1310"/>
      <c r="B1391" s="330"/>
      <c r="C1391" s="697" t="s">
        <v>275</v>
      </c>
      <c r="D1391" s="1253">
        <v>2015</v>
      </c>
      <c r="E1391" s="697" t="s">
        <v>276</v>
      </c>
      <c r="F1391" s="698"/>
      <c r="G1391" s="698"/>
      <c r="I1391" s="330"/>
      <c r="J1391" s="867">
        <v>0</v>
      </c>
      <c r="K1391" s="700"/>
      <c r="L1391" s="669" t="s">
        <v>475</v>
      </c>
      <c r="P1391" s="588"/>
      <c r="Q1391" s="700"/>
    </row>
    <row r="1392" spans="1:17">
      <c r="A1392" s="1310"/>
      <c r="B1392" s="330"/>
      <c r="C1392" s="697" t="s">
        <v>277</v>
      </c>
      <c r="D1392" s="1253">
        <v>12</v>
      </c>
      <c r="E1392" s="697" t="s">
        <v>278</v>
      </c>
      <c r="F1392" s="698"/>
      <c r="G1392" s="698"/>
      <c r="I1392" s="330"/>
      <c r="J1392" s="701">
        <f>$F$70</f>
        <v>0.15341253840442806</v>
      </c>
      <c r="K1392" s="702"/>
      <c r="L1392" s="542" t="str">
        <f>"          INPUT TRUE-UP ARR (WITH &amp; WITHOUT INCENTIVES) FROM EACH PRIOR YEAR"</f>
        <v xml:space="preserve">          INPUT TRUE-UP ARR (WITH &amp; WITHOUT INCENTIVES) FROM EACH PRIOR YEAR</v>
      </c>
      <c r="P1392" s="588"/>
      <c r="Q1392" s="702"/>
    </row>
    <row r="1393" spans="1:17">
      <c r="A1393" s="1310"/>
      <c r="B1393" s="330"/>
      <c r="C1393" s="697" t="s">
        <v>279</v>
      </c>
      <c r="D1393" s="703">
        <f>H79</f>
        <v>44</v>
      </c>
      <c r="E1393" s="697" t="s">
        <v>280</v>
      </c>
      <c r="F1393" s="698"/>
      <c r="G1393" s="698"/>
      <c r="I1393" s="330"/>
      <c r="J1393" s="701">
        <f>IF(H1384="",J1392,$F$69)</f>
        <v>0.15341253840442806</v>
      </c>
      <c r="K1393" s="704"/>
      <c r="L1393" s="542" t="s">
        <v>362</v>
      </c>
      <c r="M1393" s="704"/>
      <c r="N1393" s="704"/>
      <c r="O1393" s="704"/>
      <c r="P1393" s="588"/>
      <c r="Q1393" s="704"/>
    </row>
    <row r="1394" spans="1:17" ht="13.5" thickBot="1">
      <c r="A1394" s="1310"/>
      <c r="B1394" s="330"/>
      <c r="C1394" s="697" t="s">
        <v>281</v>
      </c>
      <c r="D1394" s="866" t="s">
        <v>933</v>
      </c>
      <c r="E1394" s="705" t="s">
        <v>282</v>
      </c>
      <c r="F1394" s="706"/>
      <c r="G1394" s="706"/>
      <c r="H1394" s="707"/>
      <c r="I1394" s="707"/>
      <c r="J1394" s="685">
        <f>IF(D1390=0,0,D1390/D1393)</f>
        <v>14108.115909090908</v>
      </c>
      <c r="K1394" s="669"/>
      <c r="L1394" s="669" t="s">
        <v>363</v>
      </c>
      <c r="M1394" s="669"/>
      <c r="N1394" s="669"/>
      <c r="O1394" s="669"/>
      <c r="P1394" s="588"/>
      <c r="Q1394" s="669"/>
    </row>
    <row r="1395" spans="1:17" ht="38.25">
      <c r="A1395" s="529"/>
      <c r="B1395" s="529"/>
      <c r="C1395" s="708" t="s">
        <v>272</v>
      </c>
      <c r="D1395" s="709" t="s">
        <v>283</v>
      </c>
      <c r="E1395" s="710" t="s">
        <v>284</v>
      </c>
      <c r="F1395" s="709" t="s">
        <v>285</v>
      </c>
      <c r="G1395" s="709" t="s">
        <v>458</v>
      </c>
      <c r="H1395" s="710" t="s">
        <v>356</v>
      </c>
      <c r="I1395" s="711" t="s">
        <v>356</v>
      </c>
      <c r="J1395" s="708" t="s">
        <v>295</v>
      </c>
      <c r="K1395" s="712"/>
      <c r="L1395" s="710" t="s">
        <v>358</v>
      </c>
      <c r="M1395" s="710" t="s">
        <v>364</v>
      </c>
      <c r="N1395" s="710" t="s">
        <v>358</v>
      </c>
      <c r="O1395" s="710" t="s">
        <v>366</v>
      </c>
      <c r="P1395" s="710" t="s">
        <v>286</v>
      </c>
      <c r="Q1395" s="713"/>
    </row>
    <row r="1396" spans="1:17" ht="13.5" thickBot="1">
      <c r="B1396" s="330"/>
      <c r="C1396" s="714" t="s">
        <v>177</v>
      </c>
      <c r="D1396" s="715" t="s">
        <v>178</v>
      </c>
      <c r="E1396" s="714" t="s">
        <v>37</v>
      </c>
      <c r="F1396" s="715" t="s">
        <v>178</v>
      </c>
      <c r="G1396" s="715" t="s">
        <v>178</v>
      </c>
      <c r="H1396" s="716" t="s">
        <v>298</v>
      </c>
      <c r="I1396" s="717" t="s">
        <v>300</v>
      </c>
      <c r="J1396" s="718" t="s">
        <v>389</v>
      </c>
      <c r="K1396" s="719"/>
      <c r="L1396" s="716" t="s">
        <v>287</v>
      </c>
      <c r="M1396" s="716" t="s">
        <v>287</v>
      </c>
      <c r="N1396" s="716" t="s">
        <v>467</v>
      </c>
      <c r="O1396" s="716" t="s">
        <v>467</v>
      </c>
      <c r="P1396" s="716" t="s">
        <v>467</v>
      </c>
      <c r="Q1396" s="586"/>
    </row>
    <row r="1397" spans="1:17">
      <c r="B1397" s="330"/>
      <c r="C1397" s="720">
        <f>IF(D1391= "","-",D1391)</f>
        <v>2015</v>
      </c>
      <c r="D1397" s="673">
        <f>+D1390</f>
        <v>620757.1</v>
      </c>
      <c r="E1397" s="721">
        <f>+J1394/12*(12-D1392)</f>
        <v>0</v>
      </c>
      <c r="F1397" s="765">
        <f t="shared" ref="F1397:F1456" si="128">+D1397-E1397</f>
        <v>620757.1</v>
      </c>
      <c r="G1397" s="673">
        <f t="shared" ref="G1397:G1456" si="129">+(D1397+F1397)/2</f>
        <v>620757.1</v>
      </c>
      <c r="H1397" s="722">
        <f>+J1392*G1397+E1397</f>
        <v>95231.922443571384</v>
      </c>
      <c r="I1397" s="723">
        <f>+J1393*G1397+E1397</f>
        <v>95231.922443571384</v>
      </c>
      <c r="J1397" s="724">
        <f t="shared" ref="J1397:J1456" si="130">+I1397-H1397</f>
        <v>0</v>
      </c>
      <c r="K1397" s="724"/>
      <c r="L1397" s="728">
        <v>63382</v>
      </c>
      <c r="M1397" s="766">
        <f t="shared" ref="M1397:M1456" si="131">IF(L1397&lt;&gt;0,+H1397-L1397,0)</f>
        <v>31849.922443571384</v>
      </c>
      <c r="N1397" s="728">
        <v>63382</v>
      </c>
      <c r="O1397" s="766">
        <f t="shared" ref="O1397:O1456" si="132">IF(N1397&lt;&gt;0,+I1397-N1397,0)</f>
        <v>31849.922443571384</v>
      </c>
      <c r="P1397" s="766">
        <f t="shared" ref="P1397:P1456" si="133">+O1397-M1397</f>
        <v>0</v>
      </c>
      <c r="Q1397" s="674"/>
    </row>
    <row r="1398" spans="1:17">
      <c r="B1398" s="330"/>
      <c r="C1398" s="720">
        <f>IF(D1391="","-",+C1397+1)</f>
        <v>2016</v>
      </c>
      <c r="D1398" s="673">
        <f t="shared" ref="D1398:D1456" si="134">F1397</f>
        <v>620757.1</v>
      </c>
      <c r="E1398" s="726">
        <f>IF(D1398&gt;$J$1394,$J$1394,D1398)</f>
        <v>14108.115909090908</v>
      </c>
      <c r="F1398" s="726">
        <f t="shared" si="128"/>
        <v>606648.98409090901</v>
      </c>
      <c r="G1398" s="673">
        <f t="shared" si="129"/>
        <v>613703.04204545449</v>
      </c>
      <c r="H1398" s="721">
        <f>+J1392*G1398+E1398</f>
        <v>108257.85741580352</v>
      </c>
      <c r="I1398" s="727">
        <f>+J1393*G1398+E1398</f>
        <v>108257.85741580352</v>
      </c>
      <c r="J1398" s="724">
        <f t="shared" si="130"/>
        <v>0</v>
      </c>
      <c r="K1398" s="724"/>
      <c r="L1398" s="728"/>
      <c r="M1398" s="724">
        <f t="shared" si="131"/>
        <v>0</v>
      </c>
      <c r="N1398" s="728"/>
      <c r="O1398" s="724">
        <f t="shared" si="132"/>
        <v>0</v>
      </c>
      <c r="P1398" s="724">
        <f t="shared" si="133"/>
        <v>0</v>
      </c>
      <c r="Q1398" s="674"/>
    </row>
    <row r="1399" spans="1:17">
      <c r="B1399" s="330"/>
      <c r="C1399" s="720">
        <f>IF(D1391="","-",+C1398+1)</f>
        <v>2017</v>
      </c>
      <c r="D1399" s="673">
        <f t="shared" si="134"/>
        <v>606648.98409090901</v>
      </c>
      <c r="E1399" s="726">
        <f t="shared" ref="E1399:E1456" si="135">IF(D1399&gt;$J$1394,$J$1394,D1399)</f>
        <v>14108.115909090908</v>
      </c>
      <c r="F1399" s="726">
        <f t="shared" si="128"/>
        <v>592540.86818181805</v>
      </c>
      <c r="G1399" s="673">
        <f t="shared" si="129"/>
        <v>599594.92613636353</v>
      </c>
      <c r="H1399" s="721">
        <f>+J1392*G1399+E1399</f>
        <v>106093.49554208598</v>
      </c>
      <c r="I1399" s="727">
        <f>+J1393*G1399+E1399</f>
        <v>106093.49554208598</v>
      </c>
      <c r="J1399" s="724">
        <f t="shared" si="130"/>
        <v>0</v>
      </c>
      <c r="K1399" s="724"/>
      <c r="L1399" s="728">
        <v>28232</v>
      </c>
      <c r="M1399" s="724">
        <f t="shared" si="131"/>
        <v>77861.495542085977</v>
      </c>
      <c r="N1399" s="728">
        <v>28232</v>
      </c>
      <c r="O1399" s="724">
        <f t="shared" si="132"/>
        <v>77861.495542085977</v>
      </c>
      <c r="P1399" s="724">
        <f t="shared" si="133"/>
        <v>0</v>
      </c>
      <c r="Q1399" s="674"/>
    </row>
    <row r="1400" spans="1:17">
      <c r="B1400" s="330"/>
      <c r="C1400" s="720">
        <f>IF(D1391="","-",+C1399+1)</f>
        <v>2018</v>
      </c>
      <c r="D1400" s="1455">
        <f t="shared" si="134"/>
        <v>592540.86818181805</v>
      </c>
      <c r="E1400" s="726">
        <f t="shared" si="135"/>
        <v>14108.115909090908</v>
      </c>
      <c r="F1400" s="726">
        <f t="shared" si="128"/>
        <v>578432.75227272708</v>
      </c>
      <c r="G1400" s="673">
        <f t="shared" si="129"/>
        <v>585486.81022727257</v>
      </c>
      <c r="H1400" s="721">
        <f>+J1392*G1400+E1400</f>
        <v>103929.13366836845</v>
      </c>
      <c r="I1400" s="727">
        <f>+J1393*G1400+E1400</f>
        <v>103929.13366836845</v>
      </c>
      <c r="J1400" s="724">
        <f t="shared" si="130"/>
        <v>0</v>
      </c>
      <c r="K1400" s="724"/>
      <c r="L1400" s="728">
        <v>0</v>
      </c>
      <c r="M1400" s="724">
        <f t="shared" si="131"/>
        <v>0</v>
      </c>
      <c r="N1400" s="728">
        <v>0</v>
      </c>
      <c r="O1400" s="724">
        <f t="shared" si="132"/>
        <v>0</v>
      </c>
      <c r="P1400" s="724">
        <f t="shared" si="133"/>
        <v>0</v>
      </c>
      <c r="Q1400" s="674"/>
    </row>
    <row r="1401" spans="1:17">
      <c r="B1401" s="330"/>
      <c r="C1401" s="720">
        <f>IF(D1391="","-",+C1400+1)</f>
        <v>2019</v>
      </c>
      <c r="D1401" s="1269">
        <f t="shared" si="134"/>
        <v>578432.75227272708</v>
      </c>
      <c r="E1401" s="726">
        <f t="shared" si="135"/>
        <v>14108.115909090908</v>
      </c>
      <c r="F1401" s="726">
        <f t="shared" si="128"/>
        <v>564324.63636363612</v>
      </c>
      <c r="G1401" s="673">
        <f t="shared" si="129"/>
        <v>571378.6943181816</v>
      </c>
      <c r="H1401" s="721">
        <f>+J1392*G1401+E1401</f>
        <v>101764.77179465091</v>
      </c>
      <c r="I1401" s="727">
        <f>+J1393*G1401+E1401</f>
        <v>101764.77179465091</v>
      </c>
      <c r="J1401" s="724">
        <f t="shared" si="130"/>
        <v>0</v>
      </c>
      <c r="K1401" s="724"/>
      <c r="L1401" s="1452">
        <v>99924</v>
      </c>
      <c r="M1401" s="724">
        <f t="shared" si="131"/>
        <v>1840.7717946509074</v>
      </c>
      <c r="N1401" s="1452">
        <v>99924</v>
      </c>
      <c r="O1401" s="724">
        <f t="shared" si="132"/>
        <v>1840.7717946509074</v>
      </c>
      <c r="P1401" s="724">
        <f t="shared" si="133"/>
        <v>0</v>
      </c>
      <c r="Q1401" s="674"/>
    </row>
    <row r="1402" spans="1:17">
      <c r="B1402" s="330"/>
      <c r="C1402" s="720">
        <f>IF(D1391="","-",+C1401+1)</f>
        <v>2020</v>
      </c>
      <c r="D1402" s="1269">
        <f t="shared" si="134"/>
        <v>564324.63636363612</v>
      </c>
      <c r="E1402" s="726">
        <f t="shared" si="135"/>
        <v>14108.115909090908</v>
      </c>
      <c r="F1402" s="726">
        <f t="shared" si="128"/>
        <v>550216.52045454516</v>
      </c>
      <c r="G1402" s="673">
        <f t="shared" si="129"/>
        <v>557270.57840909064</v>
      </c>
      <c r="H1402" s="721">
        <f>+J1392*G1402+E1402</f>
        <v>99600.409920933365</v>
      </c>
      <c r="I1402" s="727">
        <f>+J1393*G1402+E1402</f>
        <v>99600.409920933365</v>
      </c>
      <c r="J1402" s="724">
        <f t="shared" si="130"/>
        <v>0</v>
      </c>
      <c r="K1402" s="724"/>
      <c r="L1402" s="728">
        <v>96337.025415057258</v>
      </c>
      <c r="M1402" s="724">
        <f t="shared" si="131"/>
        <v>3263.3845058761071</v>
      </c>
      <c r="N1402" s="1548">
        <v>96337.025415057258</v>
      </c>
      <c r="O1402" s="724">
        <f t="shared" si="132"/>
        <v>3263.3845058761071</v>
      </c>
      <c r="P1402" s="724">
        <f t="shared" si="133"/>
        <v>0</v>
      </c>
      <c r="Q1402" s="674"/>
    </row>
    <row r="1403" spans="1:17">
      <c r="B1403" s="330"/>
      <c r="C1403" s="720">
        <f>IF(D1391="","-",+C1402+1)</f>
        <v>2021</v>
      </c>
      <c r="D1403" s="1269">
        <f t="shared" si="134"/>
        <v>550216.52045454516</v>
      </c>
      <c r="E1403" s="726">
        <f t="shared" si="135"/>
        <v>14108.115909090908</v>
      </c>
      <c r="F1403" s="726">
        <f t="shared" si="128"/>
        <v>536108.40454545419</v>
      </c>
      <c r="G1403" s="673">
        <f t="shared" si="129"/>
        <v>543162.46249999967</v>
      </c>
      <c r="H1403" s="721">
        <f>+J1392*G1403+E1403</f>
        <v>97436.048047215823</v>
      </c>
      <c r="I1403" s="727">
        <f>+J1393*G1403+E1403</f>
        <v>97436.048047215823</v>
      </c>
      <c r="J1403" s="724">
        <f t="shared" si="130"/>
        <v>0</v>
      </c>
      <c r="K1403" s="724"/>
      <c r="L1403" s="728">
        <v>91970.565562066244</v>
      </c>
      <c r="M1403" s="724">
        <f t="shared" si="131"/>
        <v>5465.4824851495796</v>
      </c>
      <c r="N1403" s="1548">
        <v>91970.565562066244</v>
      </c>
      <c r="O1403" s="724">
        <f t="shared" si="132"/>
        <v>5465.4824851495796</v>
      </c>
      <c r="P1403" s="724">
        <f t="shared" si="133"/>
        <v>0</v>
      </c>
      <c r="Q1403" s="674"/>
    </row>
    <row r="1404" spans="1:17">
      <c r="B1404" s="330"/>
      <c r="C1404" s="720">
        <f>IF(D1391="","-",+C1403+1)</f>
        <v>2022</v>
      </c>
      <c r="D1404" s="673">
        <f t="shared" si="134"/>
        <v>536108.40454545419</v>
      </c>
      <c r="E1404" s="726">
        <f t="shared" si="135"/>
        <v>14108.115909090908</v>
      </c>
      <c r="F1404" s="726">
        <f t="shared" si="128"/>
        <v>522000.28863636329</v>
      </c>
      <c r="G1404" s="673">
        <f t="shared" si="129"/>
        <v>529054.34659090871</v>
      </c>
      <c r="H1404" s="721">
        <f>+J1392*G1404+E1404</f>
        <v>95271.686173498281</v>
      </c>
      <c r="I1404" s="727">
        <f>+J1393*G1404+E1404</f>
        <v>95271.686173498281</v>
      </c>
      <c r="J1404" s="724">
        <f t="shared" si="130"/>
        <v>0</v>
      </c>
      <c r="K1404" s="724"/>
      <c r="L1404" s="728">
        <v>0</v>
      </c>
      <c r="M1404" s="724">
        <f t="shared" si="131"/>
        <v>0</v>
      </c>
      <c r="N1404" s="728">
        <v>0</v>
      </c>
      <c r="O1404" s="724">
        <f t="shared" si="132"/>
        <v>0</v>
      </c>
      <c r="P1404" s="724">
        <f t="shared" si="133"/>
        <v>0</v>
      </c>
      <c r="Q1404" s="674"/>
    </row>
    <row r="1405" spans="1:17">
      <c r="B1405" s="330"/>
      <c r="C1405" s="720">
        <f>IF(D1391="","-",+C1404+1)</f>
        <v>2023</v>
      </c>
      <c r="D1405" s="673">
        <f t="shared" si="134"/>
        <v>522000.28863636329</v>
      </c>
      <c r="E1405" s="726">
        <f t="shared" si="135"/>
        <v>14108.115909090908</v>
      </c>
      <c r="F1405" s="726">
        <f t="shared" si="128"/>
        <v>507892.17272727238</v>
      </c>
      <c r="G1405" s="673">
        <f t="shared" si="129"/>
        <v>514946.23068181786</v>
      </c>
      <c r="H1405" s="721">
        <f>+J1392*G1405+E1405</f>
        <v>93107.324299780754</v>
      </c>
      <c r="I1405" s="727">
        <f>+J1393*G1405+E1405</f>
        <v>93107.324299780754</v>
      </c>
      <c r="J1405" s="724">
        <f t="shared" si="130"/>
        <v>0</v>
      </c>
      <c r="K1405" s="724"/>
      <c r="L1405" s="728">
        <v>0</v>
      </c>
      <c r="M1405" s="724">
        <f t="shared" si="131"/>
        <v>0</v>
      </c>
      <c r="N1405" s="728">
        <v>0</v>
      </c>
      <c r="O1405" s="724">
        <f t="shared" si="132"/>
        <v>0</v>
      </c>
      <c r="P1405" s="724">
        <f t="shared" si="133"/>
        <v>0</v>
      </c>
      <c r="Q1405" s="674"/>
    </row>
    <row r="1406" spans="1:17">
      <c r="B1406" s="330"/>
      <c r="C1406" s="1291">
        <f>IF(D1391="","-",+C1405+1)</f>
        <v>2024</v>
      </c>
      <c r="D1406" s="673">
        <f t="shared" si="134"/>
        <v>507892.17272727238</v>
      </c>
      <c r="E1406" s="726">
        <f t="shared" si="135"/>
        <v>14108.115909090908</v>
      </c>
      <c r="F1406" s="726">
        <f t="shared" si="128"/>
        <v>493784.05681818147</v>
      </c>
      <c r="G1406" s="673">
        <f t="shared" si="129"/>
        <v>500838.1147727269</v>
      </c>
      <c r="H1406" s="721">
        <f>+J1392*G1406+E1406</f>
        <v>90942.962426063226</v>
      </c>
      <c r="I1406" s="727">
        <f>+J1393*G1406+E1406</f>
        <v>90942.962426063226</v>
      </c>
      <c r="J1406" s="724">
        <f t="shared" si="130"/>
        <v>0</v>
      </c>
      <c r="K1406" s="724"/>
      <c r="L1406" s="728">
        <v>0</v>
      </c>
      <c r="M1406" s="724">
        <f t="shared" si="131"/>
        <v>0</v>
      </c>
      <c r="N1406" s="728">
        <v>0</v>
      </c>
      <c r="O1406" s="724">
        <f t="shared" si="132"/>
        <v>0</v>
      </c>
      <c r="P1406" s="724">
        <f t="shared" si="133"/>
        <v>0</v>
      </c>
      <c r="Q1406" s="674"/>
    </row>
    <row r="1407" spans="1:17">
      <c r="B1407" s="330"/>
      <c r="C1407" s="720">
        <f>IF(D1391="","-",+C1406+1)</f>
        <v>2025</v>
      </c>
      <c r="D1407" s="673">
        <f t="shared" si="134"/>
        <v>493784.05681818147</v>
      </c>
      <c r="E1407" s="726">
        <f t="shared" si="135"/>
        <v>14108.115909090908</v>
      </c>
      <c r="F1407" s="726">
        <f t="shared" si="128"/>
        <v>479675.94090909057</v>
      </c>
      <c r="G1407" s="673">
        <f t="shared" si="129"/>
        <v>486729.99886363605</v>
      </c>
      <c r="H1407" s="721">
        <f>+J1392*G1407+E1407</f>
        <v>88778.600552345699</v>
      </c>
      <c r="I1407" s="727">
        <f>+J1393*G1407+E1407</f>
        <v>88778.600552345699</v>
      </c>
      <c r="J1407" s="724">
        <f t="shared" si="130"/>
        <v>0</v>
      </c>
      <c r="K1407" s="724"/>
      <c r="L1407" s="728"/>
      <c r="M1407" s="724">
        <f t="shared" si="131"/>
        <v>0</v>
      </c>
      <c r="N1407" s="728"/>
      <c r="O1407" s="724">
        <f t="shared" si="132"/>
        <v>0</v>
      </c>
      <c r="P1407" s="724">
        <f t="shared" si="133"/>
        <v>0</v>
      </c>
      <c r="Q1407" s="674"/>
    </row>
    <row r="1408" spans="1:17">
      <c r="B1408" s="330"/>
      <c r="C1408" s="720">
        <f>IF(D1391="","-",+C1407+1)</f>
        <v>2026</v>
      </c>
      <c r="D1408" s="673">
        <f t="shared" si="134"/>
        <v>479675.94090909057</v>
      </c>
      <c r="E1408" s="726">
        <f t="shared" si="135"/>
        <v>14108.115909090908</v>
      </c>
      <c r="F1408" s="726">
        <f t="shared" si="128"/>
        <v>465567.82499999966</v>
      </c>
      <c r="G1408" s="673">
        <f t="shared" si="129"/>
        <v>472621.88295454509</v>
      </c>
      <c r="H1408" s="721">
        <f>+J1392*G1408+E1408</f>
        <v>86614.238678628157</v>
      </c>
      <c r="I1408" s="727">
        <f>+J1393*G1408+E1408</f>
        <v>86614.238678628157</v>
      </c>
      <c r="J1408" s="724">
        <f t="shared" si="130"/>
        <v>0</v>
      </c>
      <c r="K1408" s="724"/>
      <c r="L1408" s="728"/>
      <c r="M1408" s="724">
        <f t="shared" si="131"/>
        <v>0</v>
      </c>
      <c r="N1408" s="728"/>
      <c r="O1408" s="724">
        <f t="shared" si="132"/>
        <v>0</v>
      </c>
      <c r="P1408" s="724">
        <f t="shared" si="133"/>
        <v>0</v>
      </c>
      <c r="Q1408" s="674"/>
    </row>
    <row r="1409" spans="2:17">
      <c r="B1409" s="330"/>
      <c r="C1409" s="720">
        <f>IF(D1391="","-",+C1408+1)</f>
        <v>2027</v>
      </c>
      <c r="D1409" s="673">
        <f t="shared" si="134"/>
        <v>465567.82499999966</v>
      </c>
      <c r="E1409" s="726">
        <f t="shared" si="135"/>
        <v>14108.115909090908</v>
      </c>
      <c r="F1409" s="726">
        <f t="shared" si="128"/>
        <v>451459.70909090876</v>
      </c>
      <c r="G1409" s="673">
        <f t="shared" si="129"/>
        <v>458513.76704545424</v>
      </c>
      <c r="H1409" s="721">
        <f>+J1392*G1409+E1409</f>
        <v>84449.876804910629</v>
      </c>
      <c r="I1409" s="727">
        <f>+J1393*G1409+E1409</f>
        <v>84449.876804910629</v>
      </c>
      <c r="J1409" s="724">
        <f t="shared" si="130"/>
        <v>0</v>
      </c>
      <c r="K1409" s="724"/>
      <c r="L1409" s="728"/>
      <c r="M1409" s="724">
        <f t="shared" si="131"/>
        <v>0</v>
      </c>
      <c r="N1409" s="728"/>
      <c r="O1409" s="724">
        <f t="shared" si="132"/>
        <v>0</v>
      </c>
      <c r="P1409" s="724">
        <f t="shared" si="133"/>
        <v>0</v>
      </c>
      <c r="Q1409" s="674"/>
    </row>
    <row r="1410" spans="2:17">
      <c r="B1410" s="330"/>
      <c r="C1410" s="720">
        <f>IF(D1391="","-",+C1409+1)</f>
        <v>2028</v>
      </c>
      <c r="D1410" s="673">
        <f t="shared" si="134"/>
        <v>451459.70909090876</v>
      </c>
      <c r="E1410" s="726">
        <f t="shared" si="135"/>
        <v>14108.115909090908</v>
      </c>
      <c r="F1410" s="726">
        <f t="shared" si="128"/>
        <v>437351.59318181785</v>
      </c>
      <c r="G1410" s="673">
        <f t="shared" si="129"/>
        <v>444405.65113636327</v>
      </c>
      <c r="H1410" s="721">
        <f>+J1392*G1410+E1410</f>
        <v>82285.514931193102</v>
      </c>
      <c r="I1410" s="727">
        <f>+J1393*G1410+E1410</f>
        <v>82285.514931193102</v>
      </c>
      <c r="J1410" s="724">
        <f t="shared" si="130"/>
        <v>0</v>
      </c>
      <c r="K1410" s="724"/>
      <c r="L1410" s="728"/>
      <c r="M1410" s="724">
        <f t="shared" si="131"/>
        <v>0</v>
      </c>
      <c r="N1410" s="728"/>
      <c r="O1410" s="724">
        <f t="shared" si="132"/>
        <v>0</v>
      </c>
      <c r="P1410" s="724">
        <f t="shared" si="133"/>
        <v>0</v>
      </c>
      <c r="Q1410" s="674"/>
    </row>
    <row r="1411" spans="2:17">
      <c r="B1411" s="330"/>
      <c r="C1411" s="720">
        <f>IF(D1391="","-",+C1410+1)</f>
        <v>2029</v>
      </c>
      <c r="D1411" s="673">
        <f t="shared" si="134"/>
        <v>437351.59318181785</v>
      </c>
      <c r="E1411" s="726">
        <f t="shared" si="135"/>
        <v>14108.115909090908</v>
      </c>
      <c r="F1411" s="726">
        <f t="shared" si="128"/>
        <v>423243.47727272694</v>
      </c>
      <c r="G1411" s="673">
        <f t="shared" si="129"/>
        <v>430297.53522727243</v>
      </c>
      <c r="H1411" s="721">
        <f>+J1392*G1411+E1411</f>
        <v>80121.153057475574</v>
      </c>
      <c r="I1411" s="727">
        <f>+J1393*G1411+E1411</f>
        <v>80121.153057475574</v>
      </c>
      <c r="J1411" s="724">
        <f t="shared" si="130"/>
        <v>0</v>
      </c>
      <c r="K1411" s="724"/>
      <c r="L1411" s="728"/>
      <c r="M1411" s="724">
        <f t="shared" si="131"/>
        <v>0</v>
      </c>
      <c r="N1411" s="728"/>
      <c r="O1411" s="724">
        <f t="shared" si="132"/>
        <v>0</v>
      </c>
      <c r="P1411" s="724">
        <f t="shared" si="133"/>
        <v>0</v>
      </c>
      <c r="Q1411" s="674"/>
    </row>
    <row r="1412" spans="2:17">
      <c r="B1412" s="330"/>
      <c r="C1412" s="720">
        <f>IF(D1391="","-",+C1411+1)</f>
        <v>2030</v>
      </c>
      <c r="D1412" s="673">
        <f t="shared" si="134"/>
        <v>423243.47727272694</v>
      </c>
      <c r="E1412" s="726">
        <f t="shared" si="135"/>
        <v>14108.115909090908</v>
      </c>
      <c r="F1412" s="726">
        <f t="shared" si="128"/>
        <v>409135.36136363604</v>
      </c>
      <c r="G1412" s="673">
        <f t="shared" si="129"/>
        <v>416189.41931818146</v>
      </c>
      <c r="H1412" s="721">
        <f>+J1392*G1412+E1412</f>
        <v>77956.791183758032</v>
      </c>
      <c r="I1412" s="727">
        <f>+J1393*G1412+E1412</f>
        <v>77956.791183758032</v>
      </c>
      <c r="J1412" s="724">
        <f t="shared" si="130"/>
        <v>0</v>
      </c>
      <c r="K1412" s="724"/>
      <c r="L1412" s="728"/>
      <c r="M1412" s="724">
        <f t="shared" si="131"/>
        <v>0</v>
      </c>
      <c r="N1412" s="728"/>
      <c r="O1412" s="724">
        <f t="shared" si="132"/>
        <v>0</v>
      </c>
      <c r="P1412" s="724">
        <f t="shared" si="133"/>
        <v>0</v>
      </c>
      <c r="Q1412" s="674"/>
    </row>
    <row r="1413" spans="2:17">
      <c r="B1413" s="330"/>
      <c r="C1413" s="720">
        <f>IF(D1391="","-",+C1412+1)</f>
        <v>2031</v>
      </c>
      <c r="D1413" s="673">
        <f t="shared" si="134"/>
        <v>409135.36136363604</v>
      </c>
      <c r="E1413" s="726">
        <f t="shared" si="135"/>
        <v>14108.115909090908</v>
      </c>
      <c r="F1413" s="726">
        <f t="shared" si="128"/>
        <v>395027.24545454513</v>
      </c>
      <c r="G1413" s="673">
        <f t="shared" si="129"/>
        <v>402081.30340909061</v>
      </c>
      <c r="H1413" s="721">
        <f>+J1392*G1413+E1413</f>
        <v>75792.429310040519</v>
      </c>
      <c r="I1413" s="727">
        <f>+J1393*G1413+E1413</f>
        <v>75792.429310040519</v>
      </c>
      <c r="J1413" s="724">
        <f t="shared" si="130"/>
        <v>0</v>
      </c>
      <c r="K1413" s="724"/>
      <c r="L1413" s="728"/>
      <c r="M1413" s="724">
        <f t="shared" si="131"/>
        <v>0</v>
      </c>
      <c r="N1413" s="728"/>
      <c r="O1413" s="724">
        <f t="shared" si="132"/>
        <v>0</v>
      </c>
      <c r="P1413" s="724">
        <f t="shared" si="133"/>
        <v>0</v>
      </c>
      <c r="Q1413" s="674"/>
    </row>
    <row r="1414" spans="2:17">
      <c r="B1414" s="330"/>
      <c r="C1414" s="720">
        <f>IF(D1391="","-",+C1413+1)</f>
        <v>2032</v>
      </c>
      <c r="D1414" s="673">
        <f t="shared" si="134"/>
        <v>395027.24545454513</v>
      </c>
      <c r="E1414" s="726">
        <f t="shared" si="135"/>
        <v>14108.115909090908</v>
      </c>
      <c r="F1414" s="726">
        <f t="shared" si="128"/>
        <v>380919.12954545423</v>
      </c>
      <c r="G1414" s="673">
        <f t="shared" si="129"/>
        <v>387973.18749999965</v>
      </c>
      <c r="H1414" s="721">
        <f>+J1392*G1414+E1414</f>
        <v>73628.067436322977</v>
      </c>
      <c r="I1414" s="727">
        <f>+J1393*G1414+E1414</f>
        <v>73628.067436322977</v>
      </c>
      <c r="J1414" s="724">
        <f t="shared" si="130"/>
        <v>0</v>
      </c>
      <c r="K1414" s="724"/>
      <c r="L1414" s="728"/>
      <c r="M1414" s="724">
        <f t="shared" si="131"/>
        <v>0</v>
      </c>
      <c r="N1414" s="728"/>
      <c r="O1414" s="724">
        <f t="shared" si="132"/>
        <v>0</v>
      </c>
      <c r="P1414" s="724">
        <f t="shared" si="133"/>
        <v>0</v>
      </c>
      <c r="Q1414" s="674"/>
    </row>
    <row r="1415" spans="2:17">
      <c r="B1415" s="330"/>
      <c r="C1415" s="720">
        <f>IF(D1391="","-",+C1414+1)</f>
        <v>2033</v>
      </c>
      <c r="D1415" s="673">
        <f t="shared" si="134"/>
        <v>380919.12954545423</v>
      </c>
      <c r="E1415" s="726">
        <f t="shared" si="135"/>
        <v>14108.115909090908</v>
      </c>
      <c r="F1415" s="726">
        <f t="shared" si="128"/>
        <v>366811.01363636332</v>
      </c>
      <c r="G1415" s="673">
        <f t="shared" si="129"/>
        <v>373865.0715909088</v>
      </c>
      <c r="H1415" s="721">
        <f>+J1392*G1415+E1415</f>
        <v>71463.70556260545</v>
      </c>
      <c r="I1415" s="727">
        <f>+J1393*G1415+E1415</f>
        <v>71463.70556260545</v>
      </c>
      <c r="J1415" s="724">
        <f t="shared" si="130"/>
        <v>0</v>
      </c>
      <c r="K1415" s="724"/>
      <c r="L1415" s="728"/>
      <c r="M1415" s="724">
        <f t="shared" si="131"/>
        <v>0</v>
      </c>
      <c r="N1415" s="728"/>
      <c r="O1415" s="724">
        <f t="shared" si="132"/>
        <v>0</v>
      </c>
      <c r="P1415" s="724">
        <f t="shared" si="133"/>
        <v>0</v>
      </c>
      <c r="Q1415" s="674"/>
    </row>
    <row r="1416" spans="2:17">
      <c r="B1416" s="330"/>
      <c r="C1416" s="720">
        <f>IF(D1391="","-",+C1415+1)</f>
        <v>2034</v>
      </c>
      <c r="D1416" s="673">
        <f t="shared" si="134"/>
        <v>366811.01363636332</v>
      </c>
      <c r="E1416" s="726">
        <f t="shared" si="135"/>
        <v>14108.115909090908</v>
      </c>
      <c r="F1416" s="726">
        <f t="shared" si="128"/>
        <v>352702.89772727242</v>
      </c>
      <c r="G1416" s="673">
        <f t="shared" si="129"/>
        <v>359756.95568181784</v>
      </c>
      <c r="H1416" s="721">
        <f>+J1392*G1416+E1416</f>
        <v>69299.343688887908</v>
      </c>
      <c r="I1416" s="727">
        <f>+J1393*G1416+E1416</f>
        <v>69299.343688887908</v>
      </c>
      <c r="J1416" s="724">
        <f t="shared" si="130"/>
        <v>0</v>
      </c>
      <c r="K1416" s="724"/>
      <c r="L1416" s="728"/>
      <c r="M1416" s="724">
        <f t="shared" si="131"/>
        <v>0</v>
      </c>
      <c r="N1416" s="728"/>
      <c r="O1416" s="724">
        <f t="shared" si="132"/>
        <v>0</v>
      </c>
      <c r="P1416" s="724">
        <f t="shared" si="133"/>
        <v>0</v>
      </c>
      <c r="Q1416" s="674"/>
    </row>
    <row r="1417" spans="2:17">
      <c r="B1417" s="330"/>
      <c r="C1417" s="720">
        <f>IF(D1391="","-",+C1416+1)</f>
        <v>2035</v>
      </c>
      <c r="D1417" s="673">
        <f t="shared" si="134"/>
        <v>352702.89772727242</v>
      </c>
      <c r="E1417" s="726">
        <f t="shared" si="135"/>
        <v>14108.115909090908</v>
      </c>
      <c r="F1417" s="726">
        <f t="shared" si="128"/>
        <v>338594.78181818151</v>
      </c>
      <c r="G1417" s="673">
        <f t="shared" si="129"/>
        <v>345648.83977272699</v>
      </c>
      <c r="H1417" s="721">
        <f>+J1392*G1417+E1417</f>
        <v>67134.981815170395</v>
      </c>
      <c r="I1417" s="727">
        <f>+J1393*G1417+E1417</f>
        <v>67134.981815170395</v>
      </c>
      <c r="J1417" s="724">
        <f t="shared" si="130"/>
        <v>0</v>
      </c>
      <c r="K1417" s="724"/>
      <c r="L1417" s="728"/>
      <c r="M1417" s="724">
        <f t="shared" si="131"/>
        <v>0</v>
      </c>
      <c r="N1417" s="728"/>
      <c r="O1417" s="724">
        <f t="shared" si="132"/>
        <v>0</v>
      </c>
      <c r="P1417" s="724">
        <f t="shared" si="133"/>
        <v>0</v>
      </c>
      <c r="Q1417" s="674"/>
    </row>
    <row r="1418" spans="2:17">
      <c r="B1418" s="330"/>
      <c r="C1418" s="720">
        <f>IF(D1391="","-",+C1417+1)</f>
        <v>2036</v>
      </c>
      <c r="D1418" s="673">
        <f t="shared" si="134"/>
        <v>338594.78181818151</v>
      </c>
      <c r="E1418" s="726">
        <f t="shared" si="135"/>
        <v>14108.115909090908</v>
      </c>
      <c r="F1418" s="726">
        <f t="shared" si="128"/>
        <v>324486.6659090906</v>
      </c>
      <c r="G1418" s="673">
        <f t="shared" si="129"/>
        <v>331540.72386363603</v>
      </c>
      <c r="H1418" s="721">
        <f>+J1392*G1418+E1418</f>
        <v>64970.619941452846</v>
      </c>
      <c r="I1418" s="727">
        <f>+J1393*G1418+E1418</f>
        <v>64970.619941452846</v>
      </c>
      <c r="J1418" s="724">
        <f t="shared" si="130"/>
        <v>0</v>
      </c>
      <c r="K1418" s="724"/>
      <c r="L1418" s="728"/>
      <c r="M1418" s="724">
        <f t="shared" si="131"/>
        <v>0</v>
      </c>
      <c r="N1418" s="728"/>
      <c r="O1418" s="724">
        <f t="shared" si="132"/>
        <v>0</v>
      </c>
      <c r="P1418" s="724">
        <f t="shared" si="133"/>
        <v>0</v>
      </c>
      <c r="Q1418" s="674"/>
    </row>
    <row r="1419" spans="2:17">
      <c r="B1419" s="330"/>
      <c r="C1419" s="720">
        <f>IF(D1391="","-",+C1418+1)</f>
        <v>2037</v>
      </c>
      <c r="D1419" s="673">
        <f t="shared" si="134"/>
        <v>324486.6659090906</v>
      </c>
      <c r="E1419" s="726">
        <f t="shared" si="135"/>
        <v>14108.115909090908</v>
      </c>
      <c r="F1419" s="726">
        <f t="shared" si="128"/>
        <v>310378.5499999997</v>
      </c>
      <c r="G1419" s="673">
        <f t="shared" si="129"/>
        <v>317432.60795454518</v>
      </c>
      <c r="H1419" s="721">
        <f>+J1392*G1419+E1419</f>
        <v>62806.258067735325</v>
      </c>
      <c r="I1419" s="727">
        <f>+J1393*G1419+E1419</f>
        <v>62806.258067735325</v>
      </c>
      <c r="J1419" s="724">
        <f t="shared" si="130"/>
        <v>0</v>
      </c>
      <c r="K1419" s="724"/>
      <c r="L1419" s="728"/>
      <c r="M1419" s="724">
        <f t="shared" si="131"/>
        <v>0</v>
      </c>
      <c r="N1419" s="728"/>
      <c r="O1419" s="724">
        <f t="shared" si="132"/>
        <v>0</v>
      </c>
      <c r="P1419" s="724">
        <f t="shared" si="133"/>
        <v>0</v>
      </c>
      <c r="Q1419" s="674"/>
    </row>
    <row r="1420" spans="2:17">
      <c r="B1420" s="330"/>
      <c r="C1420" s="720">
        <f>IF(D1391="","-",+C1419+1)</f>
        <v>2038</v>
      </c>
      <c r="D1420" s="673">
        <f t="shared" si="134"/>
        <v>310378.5499999997</v>
      </c>
      <c r="E1420" s="726">
        <f t="shared" si="135"/>
        <v>14108.115909090908</v>
      </c>
      <c r="F1420" s="726">
        <f t="shared" si="128"/>
        <v>296270.43409090879</v>
      </c>
      <c r="G1420" s="673">
        <f t="shared" si="129"/>
        <v>303324.49204545422</v>
      </c>
      <c r="H1420" s="721">
        <f>+J1392*G1420+E1420</f>
        <v>60641.896194017783</v>
      </c>
      <c r="I1420" s="727">
        <f>+J1393*G1420+E1420</f>
        <v>60641.896194017783</v>
      </c>
      <c r="J1420" s="724">
        <f t="shared" si="130"/>
        <v>0</v>
      </c>
      <c r="K1420" s="724"/>
      <c r="L1420" s="728"/>
      <c r="M1420" s="724">
        <f t="shared" si="131"/>
        <v>0</v>
      </c>
      <c r="N1420" s="728"/>
      <c r="O1420" s="724">
        <f t="shared" si="132"/>
        <v>0</v>
      </c>
      <c r="P1420" s="724">
        <f t="shared" si="133"/>
        <v>0</v>
      </c>
      <c r="Q1420" s="674"/>
    </row>
    <row r="1421" spans="2:17">
      <c r="B1421" s="330"/>
      <c r="C1421" s="720">
        <f>IF(D1391="","-",+C1420+1)</f>
        <v>2039</v>
      </c>
      <c r="D1421" s="673">
        <f t="shared" si="134"/>
        <v>296270.43409090879</v>
      </c>
      <c r="E1421" s="726">
        <f t="shared" si="135"/>
        <v>14108.115909090908</v>
      </c>
      <c r="F1421" s="726">
        <f t="shared" si="128"/>
        <v>282162.31818181789</v>
      </c>
      <c r="G1421" s="673">
        <f t="shared" si="129"/>
        <v>289216.37613636337</v>
      </c>
      <c r="H1421" s="721">
        <f>+J1392*G1421+E1421</f>
        <v>58477.534320300263</v>
      </c>
      <c r="I1421" s="727">
        <f>+J1393*G1421+E1421</f>
        <v>58477.534320300263</v>
      </c>
      <c r="J1421" s="724">
        <f t="shared" si="130"/>
        <v>0</v>
      </c>
      <c r="K1421" s="724"/>
      <c r="L1421" s="728"/>
      <c r="M1421" s="724">
        <f t="shared" si="131"/>
        <v>0</v>
      </c>
      <c r="N1421" s="728"/>
      <c r="O1421" s="724">
        <f t="shared" si="132"/>
        <v>0</v>
      </c>
      <c r="P1421" s="724">
        <f t="shared" si="133"/>
        <v>0</v>
      </c>
      <c r="Q1421" s="674"/>
    </row>
    <row r="1422" spans="2:17">
      <c r="B1422" s="330"/>
      <c r="C1422" s="720">
        <f>IF(D1391="","-",+C1421+1)</f>
        <v>2040</v>
      </c>
      <c r="D1422" s="673">
        <f t="shared" si="134"/>
        <v>282162.31818181789</v>
      </c>
      <c r="E1422" s="726">
        <f t="shared" si="135"/>
        <v>14108.115909090908</v>
      </c>
      <c r="F1422" s="726">
        <f t="shared" si="128"/>
        <v>268054.20227272698</v>
      </c>
      <c r="G1422" s="673">
        <f t="shared" si="129"/>
        <v>275108.2602272724</v>
      </c>
      <c r="H1422" s="721">
        <f>+J1392*G1422+E1422</f>
        <v>56313.172446582721</v>
      </c>
      <c r="I1422" s="727">
        <f>+J1393*G1422+E1422</f>
        <v>56313.172446582721</v>
      </c>
      <c r="J1422" s="724">
        <f t="shared" si="130"/>
        <v>0</v>
      </c>
      <c r="K1422" s="724"/>
      <c r="L1422" s="728"/>
      <c r="M1422" s="724">
        <f t="shared" si="131"/>
        <v>0</v>
      </c>
      <c r="N1422" s="728"/>
      <c r="O1422" s="724">
        <f t="shared" si="132"/>
        <v>0</v>
      </c>
      <c r="P1422" s="724">
        <f t="shared" si="133"/>
        <v>0</v>
      </c>
      <c r="Q1422" s="674"/>
    </row>
    <row r="1423" spans="2:17">
      <c r="B1423" s="330"/>
      <c r="C1423" s="720">
        <f>IF(D1391="","-",+C1422+1)</f>
        <v>2041</v>
      </c>
      <c r="D1423" s="673">
        <f t="shared" si="134"/>
        <v>268054.20227272698</v>
      </c>
      <c r="E1423" s="726">
        <f t="shared" si="135"/>
        <v>14108.115909090908</v>
      </c>
      <c r="F1423" s="726">
        <f t="shared" si="128"/>
        <v>253946.08636363607</v>
      </c>
      <c r="G1423" s="673">
        <f t="shared" si="129"/>
        <v>261000.14431818153</v>
      </c>
      <c r="H1423" s="721">
        <f>+J1392*G1423+E1423</f>
        <v>54148.810572865194</v>
      </c>
      <c r="I1423" s="727">
        <f>+J1393*G1423+E1423</f>
        <v>54148.810572865194</v>
      </c>
      <c r="J1423" s="724">
        <f t="shared" si="130"/>
        <v>0</v>
      </c>
      <c r="K1423" s="724"/>
      <c r="L1423" s="728"/>
      <c r="M1423" s="724">
        <f t="shared" si="131"/>
        <v>0</v>
      </c>
      <c r="N1423" s="728"/>
      <c r="O1423" s="724">
        <f t="shared" si="132"/>
        <v>0</v>
      </c>
      <c r="P1423" s="724">
        <f t="shared" si="133"/>
        <v>0</v>
      </c>
      <c r="Q1423" s="674"/>
    </row>
    <row r="1424" spans="2:17">
      <c r="B1424" s="330"/>
      <c r="C1424" s="720">
        <f>IF(D1391="","-",+C1423+1)</f>
        <v>2042</v>
      </c>
      <c r="D1424" s="673">
        <f t="shared" si="134"/>
        <v>253946.08636363607</v>
      </c>
      <c r="E1424" s="726">
        <f t="shared" si="135"/>
        <v>14108.115909090908</v>
      </c>
      <c r="F1424" s="726">
        <f t="shared" si="128"/>
        <v>239837.97045454517</v>
      </c>
      <c r="G1424" s="673">
        <f t="shared" si="129"/>
        <v>246892.02840909062</v>
      </c>
      <c r="H1424" s="721">
        <f>+J1392*G1424+E1424</f>
        <v>51984.448699147666</v>
      </c>
      <c r="I1424" s="727">
        <f>+J1393*G1424+E1424</f>
        <v>51984.448699147666</v>
      </c>
      <c r="J1424" s="724">
        <f t="shared" si="130"/>
        <v>0</v>
      </c>
      <c r="K1424" s="724"/>
      <c r="L1424" s="728"/>
      <c r="M1424" s="724">
        <f t="shared" si="131"/>
        <v>0</v>
      </c>
      <c r="N1424" s="728"/>
      <c r="O1424" s="724">
        <f t="shared" si="132"/>
        <v>0</v>
      </c>
      <c r="P1424" s="724">
        <f t="shared" si="133"/>
        <v>0</v>
      </c>
      <c r="Q1424" s="674"/>
    </row>
    <row r="1425" spans="2:17">
      <c r="B1425" s="330"/>
      <c r="C1425" s="720">
        <f>IF(D1391="","-",+C1424+1)</f>
        <v>2043</v>
      </c>
      <c r="D1425" s="673">
        <f t="shared" si="134"/>
        <v>239837.97045454517</v>
      </c>
      <c r="E1425" s="726">
        <f t="shared" si="135"/>
        <v>14108.115909090908</v>
      </c>
      <c r="F1425" s="726">
        <f t="shared" si="128"/>
        <v>225729.85454545426</v>
      </c>
      <c r="G1425" s="673">
        <f t="shared" si="129"/>
        <v>232783.91249999971</v>
      </c>
      <c r="H1425" s="721">
        <f>+J1392*G1425+E1425</f>
        <v>49820.086825430131</v>
      </c>
      <c r="I1425" s="727">
        <f>+J1393*G1425+E1425</f>
        <v>49820.086825430131</v>
      </c>
      <c r="J1425" s="724">
        <f t="shared" si="130"/>
        <v>0</v>
      </c>
      <c r="K1425" s="724"/>
      <c r="L1425" s="728"/>
      <c r="M1425" s="724">
        <f t="shared" si="131"/>
        <v>0</v>
      </c>
      <c r="N1425" s="728"/>
      <c r="O1425" s="724">
        <f t="shared" si="132"/>
        <v>0</v>
      </c>
      <c r="P1425" s="724">
        <f t="shared" si="133"/>
        <v>0</v>
      </c>
      <c r="Q1425" s="674"/>
    </row>
    <row r="1426" spans="2:17">
      <c r="B1426" s="330"/>
      <c r="C1426" s="720">
        <f>IF(D1391="","-",+C1425+1)</f>
        <v>2044</v>
      </c>
      <c r="D1426" s="673">
        <f t="shared" si="134"/>
        <v>225729.85454545426</v>
      </c>
      <c r="E1426" s="726">
        <f t="shared" si="135"/>
        <v>14108.115909090908</v>
      </c>
      <c r="F1426" s="726">
        <f t="shared" si="128"/>
        <v>211621.73863636336</v>
      </c>
      <c r="G1426" s="673">
        <f t="shared" si="129"/>
        <v>218675.79659090881</v>
      </c>
      <c r="H1426" s="721">
        <f>+J1392*G1426+E1426</f>
        <v>47655.724951712604</v>
      </c>
      <c r="I1426" s="727">
        <f>+J1393*G1426+E1426</f>
        <v>47655.724951712604</v>
      </c>
      <c r="J1426" s="724">
        <f t="shared" si="130"/>
        <v>0</v>
      </c>
      <c r="K1426" s="724"/>
      <c r="L1426" s="728"/>
      <c r="M1426" s="724">
        <f t="shared" si="131"/>
        <v>0</v>
      </c>
      <c r="N1426" s="728"/>
      <c r="O1426" s="724">
        <f t="shared" si="132"/>
        <v>0</v>
      </c>
      <c r="P1426" s="724">
        <f t="shared" si="133"/>
        <v>0</v>
      </c>
      <c r="Q1426" s="674"/>
    </row>
    <row r="1427" spans="2:17">
      <c r="B1427" s="330"/>
      <c r="C1427" s="720">
        <f>IF(D1391="","-",+C1426+1)</f>
        <v>2045</v>
      </c>
      <c r="D1427" s="673">
        <f t="shared" si="134"/>
        <v>211621.73863636336</v>
      </c>
      <c r="E1427" s="726">
        <f t="shared" si="135"/>
        <v>14108.115909090908</v>
      </c>
      <c r="F1427" s="726">
        <f t="shared" si="128"/>
        <v>197513.62272727245</v>
      </c>
      <c r="G1427" s="673">
        <f t="shared" si="129"/>
        <v>204567.6806818179</v>
      </c>
      <c r="H1427" s="721">
        <f>+J1392*G1427+E1427</f>
        <v>45491.363077995076</v>
      </c>
      <c r="I1427" s="727">
        <f>+J1393*G1427+E1427</f>
        <v>45491.363077995076</v>
      </c>
      <c r="J1427" s="724">
        <f t="shared" si="130"/>
        <v>0</v>
      </c>
      <c r="K1427" s="724"/>
      <c r="L1427" s="728"/>
      <c r="M1427" s="724">
        <f t="shared" si="131"/>
        <v>0</v>
      </c>
      <c r="N1427" s="728"/>
      <c r="O1427" s="724">
        <f t="shared" si="132"/>
        <v>0</v>
      </c>
      <c r="P1427" s="724">
        <f t="shared" si="133"/>
        <v>0</v>
      </c>
      <c r="Q1427" s="674"/>
    </row>
    <row r="1428" spans="2:17">
      <c r="B1428" s="330"/>
      <c r="C1428" s="720">
        <f>IF(D1391="","-",+C1427+1)</f>
        <v>2046</v>
      </c>
      <c r="D1428" s="673">
        <f t="shared" si="134"/>
        <v>197513.62272727245</v>
      </c>
      <c r="E1428" s="726">
        <f t="shared" si="135"/>
        <v>14108.115909090908</v>
      </c>
      <c r="F1428" s="726">
        <f t="shared" si="128"/>
        <v>183405.50681818154</v>
      </c>
      <c r="G1428" s="673">
        <f t="shared" si="129"/>
        <v>190459.564772727</v>
      </c>
      <c r="H1428" s="721">
        <f>+J1392*G1428+E1428</f>
        <v>43327.001204277542</v>
      </c>
      <c r="I1428" s="727">
        <f>+J1393*G1428+E1428</f>
        <v>43327.001204277542</v>
      </c>
      <c r="J1428" s="724">
        <f t="shared" si="130"/>
        <v>0</v>
      </c>
      <c r="K1428" s="724"/>
      <c r="L1428" s="728"/>
      <c r="M1428" s="724">
        <f t="shared" si="131"/>
        <v>0</v>
      </c>
      <c r="N1428" s="728"/>
      <c r="O1428" s="724">
        <f t="shared" si="132"/>
        <v>0</v>
      </c>
      <c r="P1428" s="724">
        <f t="shared" si="133"/>
        <v>0</v>
      </c>
      <c r="Q1428" s="674"/>
    </row>
    <row r="1429" spans="2:17">
      <c r="B1429" s="330"/>
      <c r="C1429" s="720">
        <f>IF(D1391="","-",+C1428+1)</f>
        <v>2047</v>
      </c>
      <c r="D1429" s="673">
        <f t="shared" si="134"/>
        <v>183405.50681818154</v>
      </c>
      <c r="E1429" s="726">
        <f t="shared" si="135"/>
        <v>14108.115909090908</v>
      </c>
      <c r="F1429" s="726">
        <f t="shared" si="128"/>
        <v>169297.39090909064</v>
      </c>
      <c r="G1429" s="673">
        <f t="shared" si="129"/>
        <v>176351.44886363609</v>
      </c>
      <c r="H1429" s="721">
        <f>+J1392*G1429+E1429</f>
        <v>41162.639330560014</v>
      </c>
      <c r="I1429" s="727">
        <f>+J1393*G1429+E1429</f>
        <v>41162.639330560014</v>
      </c>
      <c r="J1429" s="724">
        <f t="shared" si="130"/>
        <v>0</v>
      </c>
      <c r="K1429" s="724"/>
      <c r="L1429" s="728"/>
      <c r="M1429" s="724">
        <f t="shared" si="131"/>
        <v>0</v>
      </c>
      <c r="N1429" s="728"/>
      <c r="O1429" s="724">
        <f t="shared" si="132"/>
        <v>0</v>
      </c>
      <c r="P1429" s="724">
        <f t="shared" si="133"/>
        <v>0</v>
      </c>
      <c r="Q1429" s="674"/>
    </row>
    <row r="1430" spans="2:17">
      <c r="B1430" s="330"/>
      <c r="C1430" s="720">
        <f>IF(D1391="","-",+C1429+1)</f>
        <v>2048</v>
      </c>
      <c r="D1430" s="673">
        <f t="shared" si="134"/>
        <v>169297.39090909064</v>
      </c>
      <c r="E1430" s="726">
        <f t="shared" si="135"/>
        <v>14108.115909090908</v>
      </c>
      <c r="F1430" s="726">
        <f t="shared" si="128"/>
        <v>155189.27499999973</v>
      </c>
      <c r="G1430" s="673">
        <f t="shared" si="129"/>
        <v>162243.33295454519</v>
      </c>
      <c r="H1430" s="721">
        <f>+J1392*G1430+E1430</f>
        <v>38998.277456842479</v>
      </c>
      <c r="I1430" s="727">
        <f>+J1393*G1430+E1430</f>
        <v>38998.277456842479</v>
      </c>
      <c r="J1430" s="724">
        <f t="shared" si="130"/>
        <v>0</v>
      </c>
      <c r="K1430" s="724"/>
      <c r="L1430" s="728"/>
      <c r="M1430" s="724">
        <f t="shared" si="131"/>
        <v>0</v>
      </c>
      <c r="N1430" s="728"/>
      <c r="O1430" s="724">
        <f t="shared" si="132"/>
        <v>0</v>
      </c>
      <c r="P1430" s="724">
        <f t="shared" si="133"/>
        <v>0</v>
      </c>
      <c r="Q1430" s="674"/>
    </row>
    <row r="1431" spans="2:17">
      <c r="B1431" s="330"/>
      <c r="C1431" s="720">
        <f>IF(D1391="","-",+C1430+1)</f>
        <v>2049</v>
      </c>
      <c r="D1431" s="673">
        <f t="shared" si="134"/>
        <v>155189.27499999973</v>
      </c>
      <c r="E1431" s="726">
        <f t="shared" si="135"/>
        <v>14108.115909090908</v>
      </c>
      <c r="F1431" s="726">
        <f t="shared" si="128"/>
        <v>141081.15909090883</v>
      </c>
      <c r="G1431" s="673">
        <f t="shared" si="129"/>
        <v>148135.21704545428</v>
      </c>
      <c r="H1431" s="721">
        <f>+J1392*G1431+E1431</f>
        <v>36833.915583124952</v>
      </c>
      <c r="I1431" s="727">
        <f>+J1393*G1431+E1431</f>
        <v>36833.915583124952</v>
      </c>
      <c r="J1431" s="724">
        <f t="shared" si="130"/>
        <v>0</v>
      </c>
      <c r="K1431" s="724"/>
      <c r="L1431" s="728"/>
      <c r="M1431" s="724">
        <f t="shared" si="131"/>
        <v>0</v>
      </c>
      <c r="N1431" s="728"/>
      <c r="O1431" s="724">
        <f t="shared" si="132"/>
        <v>0</v>
      </c>
      <c r="P1431" s="724">
        <f t="shared" si="133"/>
        <v>0</v>
      </c>
      <c r="Q1431" s="674"/>
    </row>
    <row r="1432" spans="2:17">
      <c r="B1432" s="330"/>
      <c r="C1432" s="720">
        <f>IF(D1391="","-",+C1431+1)</f>
        <v>2050</v>
      </c>
      <c r="D1432" s="673">
        <f t="shared" si="134"/>
        <v>141081.15909090883</v>
      </c>
      <c r="E1432" s="726">
        <f t="shared" si="135"/>
        <v>14108.115909090908</v>
      </c>
      <c r="F1432" s="726">
        <f t="shared" si="128"/>
        <v>126973.04318181792</v>
      </c>
      <c r="G1432" s="673">
        <f t="shared" si="129"/>
        <v>134027.10113636337</v>
      </c>
      <c r="H1432" s="721">
        <f>+J1392*G1432+E1432</f>
        <v>34669.553709407417</v>
      </c>
      <c r="I1432" s="727">
        <f>+J1393*G1432+E1432</f>
        <v>34669.553709407417</v>
      </c>
      <c r="J1432" s="724">
        <f t="shared" si="130"/>
        <v>0</v>
      </c>
      <c r="K1432" s="724"/>
      <c r="L1432" s="728"/>
      <c r="M1432" s="724">
        <f t="shared" si="131"/>
        <v>0</v>
      </c>
      <c r="N1432" s="728"/>
      <c r="O1432" s="724">
        <f t="shared" si="132"/>
        <v>0</v>
      </c>
      <c r="P1432" s="724">
        <f t="shared" si="133"/>
        <v>0</v>
      </c>
      <c r="Q1432" s="674"/>
    </row>
    <row r="1433" spans="2:17">
      <c r="B1433" s="330"/>
      <c r="C1433" s="720">
        <f>IF(D1391="","-",+C1432+1)</f>
        <v>2051</v>
      </c>
      <c r="D1433" s="673">
        <f t="shared" si="134"/>
        <v>126973.04318181792</v>
      </c>
      <c r="E1433" s="726">
        <f t="shared" si="135"/>
        <v>14108.115909090908</v>
      </c>
      <c r="F1433" s="726">
        <f t="shared" si="128"/>
        <v>112864.92727272701</v>
      </c>
      <c r="G1433" s="673">
        <f t="shared" si="129"/>
        <v>119918.98522727247</v>
      </c>
      <c r="H1433" s="721">
        <f>+J1392*G1433+E1433</f>
        <v>32505.19183568989</v>
      </c>
      <c r="I1433" s="727">
        <f>+J1393*G1433+E1433</f>
        <v>32505.19183568989</v>
      </c>
      <c r="J1433" s="724">
        <f t="shared" si="130"/>
        <v>0</v>
      </c>
      <c r="K1433" s="724"/>
      <c r="L1433" s="728"/>
      <c r="M1433" s="724">
        <f t="shared" si="131"/>
        <v>0</v>
      </c>
      <c r="N1433" s="728"/>
      <c r="O1433" s="724">
        <f t="shared" si="132"/>
        <v>0</v>
      </c>
      <c r="P1433" s="724">
        <f t="shared" si="133"/>
        <v>0</v>
      </c>
      <c r="Q1433" s="674"/>
    </row>
    <row r="1434" spans="2:17">
      <c r="B1434" s="330"/>
      <c r="C1434" s="720">
        <f>IF(D1391="","-",+C1433+1)</f>
        <v>2052</v>
      </c>
      <c r="D1434" s="673">
        <f t="shared" si="134"/>
        <v>112864.92727272701</v>
      </c>
      <c r="E1434" s="726">
        <f t="shared" si="135"/>
        <v>14108.115909090908</v>
      </c>
      <c r="F1434" s="726">
        <f t="shared" si="128"/>
        <v>98756.811363636109</v>
      </c>
      <c r="G1434" s="673">
        <f t="shared" si="129"/>
        <v>105810.86931818156</v>
      </c>
      <c r="H1434" s="721">
        <f>+J1392*G1434+E1434</f>
        <v>30340.829961972355</v>
      </c>
      <c r="I1434" s="727">
        <f>+J1393*G1434+E1434</f>
        <v>30340.829961972355</v>
      </c>
      <c r="J1434" s="724">
        <f t="shared" si="130"/>
        <v>0</v>
      </c>
      <c r="K1434" s="724"/>
      <c r="L1434" s="728"/>
      <c r="M1434" s="724">
        <f t="shared" si="131"/>
        <v>0</v>
      </c>
      <c r="N1434" s="728"/>
      <c r="O1434" s="724">
        <f t="shared" si="132"/>
        <v>0</v>
      </c>
      <c r="P1434" s="724">
        <f t="shared" si="133"/>
        <v>0</v>
      </c>
      <c r="Q1434" s="674"/>
    </row>
    <row r="1435" spans="2:17">
      <c r="B1435" s="330"/>
      <c r="C1435" s="720">
        <f>IF(D1391="","-",+C1434+1)</f>
        <v>2053</v>
      </c>
      <c r="D1435" s="673">
        <f t="shared" si="134"/>
        <v>98756.811363636109</v>
      </c>
      <c r="E1435" s="726">
        <f t="shared" si="135"/>
        <v>14108.115909090908</v>
      </c>
      <c r="F1435" s="726">
        <f t="shared" si="128"/>
        <v>84648.695454545203</v>
      </c>
      <c r="G1435" s="673">
        <f t="shared" si="129"/>
        <v>91702.753409090656</v>
      </c>
      <c r="H1435" s="721">
        <f>+J1392*G1435+E1435</f>
        <v>28176.468088254824</v>
      </c>
      <c r="I1435" s="727">
        <f>+J1393*G1435+E1435</f>
        <v>28176.468088254824</v>
      </c>
      <c r="J1435" s="724">
        <f t="shared" si="130"/>
        <v>0</v>
      </c>
      <c r="K1435" s="724"/>
      <c r="L1435" s="728"/>
      <c r="M1435" s="724">
        <f t="shared" si="131"/>
        <v>0</v>
      </c>
      <c r="N1435" s="728"/>
      <c r="O1435" s="724">
        <f t="shared" si="132"/>
        <v>0</v>
      </c>
      <c r="P1435" s="724">
        <f t="shared" si="133"/>
        <v>0</v>
      </c>
      <c r="Q1435" s="674"/>
    </row>
    <row r="1436" spans="2:17">
      <c r="B1436" s="330"/>
      <c r="C1436" s="720">
        <f>IF(D1391="","-",+C1435+1)</f>
        <v>2054</v>
      </c>
      <c r="D1436" s="673">
        <f t="shared" si="134"/>
        <v>84648.695454545203</v>
      </c>
      <c r="E1436" s="726">
        <f t="shared" si="135"/>
        <v>14108.115909090908</v>
      </c>
      <c r="F1436" s="726">
        <f t="shared" si="128"/>
        <v>70540.579545454297</v>
      </c>
      <c r="G1436" s="673">
        <f t="shared" si="129"/>
        <v>77594.63749999975</v>
      </c>
      <c r="H1436" s="721">
        <f>+J1392*G1436+E1436</f>
        <v>26012.106214537293</v>
      </c>
      <c r="I1436" s="727">
        <f>+J1393*G1436+E1436</f>
        <v>26012.106214537293</v>
      </c>
      <c r="J1436" s="724">
        <f t="shared" si="130"/>
        <v>0</v>
      </c>
      <c r="K1436" s="724"/>
      <c r="L1436" s="728"/>
      <c r="M1436" s="724">
        <f t="shared" si="131"/>
        <v>0</v>
      </c>
      <c r="N1436" s="728"/>
      <c r="O1436" s="724">
        <f t="shared" si="132"/>
        <v>0</v>
      </c>
      <c r="P1436" s="724">
        <f t="shared" si="133"/>
        <v>0</v>
      </c>
      <c r="Q1436" s="674"/>
    </row>
    <row r="1437" spans="2:17">
      <c r="B1437" s="330"/>
      <c r="C1437" s="720">
        <f>IF(D1391="","-",+C1436+1)</f>
        <v>2055</v>
      </c>
      <c r="D1437" s="673">
        <f t="shared" si="134"/>
        <v>70540.579545454297</v>
      </c>
      <c r="E1437" s="726">
        <f t="shared" si="135"/>
        <v>14108.115909090908</v>
      </c>
      <c r="F1437" s="726">
        <f t="shared" si="128"/>
        <v>56432.463636363391</v>
      </c>
      <c r="G1437" s="673">
        <f t="shared" si="129"/>
        <v>63486.521590908844</v>
      </c>
      <c r="H1437" s="721">
        <f>+J1392*G1437+E1437</f>
        <v>23847.744340819761</v>
      </c>
      <c r="I1437" s="727">
        <f>+J1393*G1437+E1437</f>
        <v>23847.744340819761</v>
      </c>
      <c r="J1437" s="724">
        <f t="shared" si="130"/>
        <v>0</v>
      </c>
      <c r="K1437" s="724"/>
      <c r="L1437" s="728"/>
      <c r="M1437" s="724">
        <f t="shared" si="131"/>
        <v>0</v>
      </c>
      <c r="N1437" s="728"/>
      <c r="O1437" s="724">
        <f t="shared" si="132"/>
        <v>0</v>
      </c>
      <c r="P1437" s="724">
        <f t="shared" si="133"/>
        <v>0</v>
      </c>
      <c r="Q1437" s="674"/>
    </row>
    <row r="1438" spans="2:17">
      <c r="B1438" s="330"/>
      <c r="C1438" s="720">
        <f>IF(D1391="","-",+C1437+1)</f>
        <v>2056</v>
      </c>
      <c r="D1438" s="673">
        <f t="shared" si="134"/>
        <v>56432.463636363391</v>
      </c>
      <c r="E1438" s="726">
        <f t="shared" si="135"/>
        <v>14108.115909090908</v>
      </c>
      <c r="F1438" s="726">
        <f t="shared" si="128"/>
        <v>42324.347727272485</v>
      </c>
      <c r="G1438" s="673">
        <f t="shared" si="129"/>
        <v>49378.405681817938</v>
      </c>
      <c r="H1438" s="721">
        <f>+J1392*G1438+E1438</f>
        <v>21683.38246710223</v>
      </c>
      <c r="I1438" s="727">
        <f>+J1393*G1438+E1438</f>
        <v>21683.38246710223</v>
      </c>
      <c r="J1438" s="724">
        <f t="shared" si="130"/>
        <v>0</v>
      </c>
      <c r="K1438" s="724"/>
      <c r="L1438" s="728"/>
      <c r="M1438" s="724">
        <f t="shared" si="131"/>
        <v>0</v>
      </c>
      <c r="N1438" s="728"/>
      <c r="O1438" s="724">
        <f t="shared" si="132"/>
        <v>0</v>
      </c>
      <c r="P1438" s="724">
        <f t="shared" si="133"/>
        <v>0</v>
      </c>
      <c r="Q1438" s="674"/>
    </row>
    <row r="1439" spans="2:17">
      <c r="B1439" s="330"/>
      <c r="C1439" s="720">
        <f>IF(D1391="","-",+C1438+1)</f>
        <v>2057</v>
      </c>
      <c r="D1439" s="673">
        <f t="shared" si="134"/>
        <v>42324.347727272485</v>
      </c>
      <c r="E1439" s="726">
        <f t="shared" si="135"/>
        <v>14108.115909090908</v>
      </c>
      <c r="F1439" s="726">
        <f t="shared" si="128"/>
        <v>28216.231818181579</v>
      </c>
      <c r="G1439" s="673">
        <f t="shared" si="129"/>
        <v>35270.289772727032</v>
      </c>
      <c r="H1439" s="721">
        <f>+J1392*G1439+E1439</f>
        <v>19519.020593384699</v>
      </c>
      <c r="I1439" s="727">
        <f>+J1393*G1439+E1439</f>
        <v>19519.020593384699</v>
      </c>
      <c r="J1439" s="724">
        <f t="shared" si="130"/>
        <v>0</v>
      </c>
      <c r="K1439" s="724"/>
      <c r="L1439" s="728"/>
      <c r="M1439" s="724">
        <f t="shared" si="131"/>
        <v>0</v>
      </c>
      <c r="N1439" s="728"/>
      <c r="O1439" s="724">
        <f t="shared" si="132"/>
        <v>0</v>
      </c>
      <c r="P1439" s="724">
        <f t="shared" si="133"/>
        <v>0</v>
      </c>
      <c r="Q1439" s="674"/>
    </row>
    <row r="1440" spans="2:17">
      <c r="B1440" s="330"/>
      <c r="C1440" s="720">
        <f>IF(D1391="","-",+C1439+1)</f>
        <v>2058</v>
      </c>
      <c r="D1440" s="673">
        <f t="shared" si="134"/>
        <v>28216.231818181579</v>
      </c>
      <c r="E1440" s="726">
        <f t="shared" si="135"/>
        <v>14108.115909090908</v>
      </c>
      <c r="F1440" s="726">
        <f t="shared" si="128"/>
        <v>14108.115909090671</v>
      </c>
      <c r="G1440" s="673">
        <f t="shared" si="129"/>
        <v>21162.173863636126</v>
      </c>
      <c r="H1440" s="721">
        <f>+J1392*G1440+E1440</f>
        <v>17354.658719667168</v>
      </c>
      <c r="I1440" s="727">
        <f>+J1393*G1440+E1440</f>
        <v>17354.658719667168</v>
      </c>
      <c r="J1440" s="724">
        <f t="shared" si="130"/>
        <v>0</v>
      </c>
      <c r="K1440" s="724"/>
      <c r="L1440" s="728"/>
      <c r="M1440" s="724">
        <f t="shared" si="131"/>
        <v>0</v>
      </c>
      <c r="N1440" s="728"/>
      <c r="O1440" s="724">
        <f t="shared" si="132"/>
        <v>0</v>
      </c>
      <c r="P1440" s="724">
        <f t="shared" si="133"/>
        <v>0</v>
      </c>
      <c r="Q1440" s="674"/>
    </row>
    <row r="1441" spans="2:17">
      <c r="B1441" s="330"/>
      <c r="C1441" s="720">
        <f>IF(D1391="","-",+C1440+1)</f>
        <v>2059</v>
      </c>
      <c r="D1441" s="673">
        <f t="shared" si="134"/>
        <v>14108.115909090671</v>
      </c>
      <c r="E1441" s="726">
        <f t="shared" si="135"/>
        <v>14108.115909090671</v>
      </c>
      <c r="F1441" s="726">
        <f t="shared" si="128"/>
        <v>0</v>
      </c>
      <c r="G1441" s="673">
        <f t="shared" si="129"/>
        <v>7054.0579545453356</v>
      </c>
      <c r="H1441" s="721">
        <f>+J1392*G1441+E1441</f>
        <v>15190.296845949419</v>
      </c>
      <c r="I1441" s="727">
        <f>+J1393*G1441+E1441</f>
        <v>15190.296845949419</v>
      </c>
      <c r="J1441" s="724">
        <f t="shared" si="130"/>
        <v>0</v>
      </c>
      <c r="K1441" s="724"/>
      <c r="L1441" s="728"/>
      <c r="M1441" s="724">
        <f t="shared" si="131"/>
        <v>0</v>
      </c>
      <c r="N1441" s="728"/>
      <c r="O1441" s="724">
        <f t="shared" si="132"/>
        <v>0</v>
      </c>
      <c r="P1441" s="724">
        <f t="shared" si="133"/>
        <v>0</v>
      </c>
      <c r="Q1441" s="674"/>
    </row>
    <row r="1442" spans="2:17">
      <c r="B1442" s="330"/>
      <c r="C1442" s="720">
        <f>IF(D1391="","-",+C1441+1)</f>
        <v>2060</v>
      </c>
      <c r="D1442" s="673">
        <f t="shared" si="134"/>
        <v>0</v>
      </c>
      <c r="E1442" s="726">
        <f t="shared" si="135"/>
        <v>0</v>
      </c>
      <c r="F1442" s="726">
        <f t="shared" si="128"/>
        <v>0</v>
      </c>
      <c r="G1442" s="673">
        <f t="shared" si="129"/>
        <v>0</v>
      </c>
      <c r="H1442" s="721">
        <f>+J1392*G1442+E1442</f>
        <v>0</v>
      </c>
      <c r="I1442" s="727">
        <f>+J1393*G1442+E1442</f>
        <v>0</v>
      </c>
      <c r="J1442" s="724">
        <f t="shared" si="130"/>
        <v>0</v>
      </c>
      <c r="K1442" s="724"/>
      <c r="L1442" s="728"/>
      <c r="M1442" s="724">
        <f t="shared" si="131"/>
        <v>0</v>
      </c>
      <c r="N1442" s="728"/>
      <c r="O1442" s="724">
        <f t="shared" si="132"/>
        <v>0</v>
      </c>
      <c r="P1442" s="724">
        <f t="shared" si="133"/>
        <v>0</v>
      </c>
      <c r="Q1442" s="674"/>
    </row>
    <row r="1443" spans="2:17">
      <c r="B1443" s="330"/>
      <c r="C1443" s="720">
        <f>IF(D1391="","-",+C1442+1)</f>
        <v>2061</v>
      </c>
      <c r="D1443" s="673">
        <f t="shared" si="134"/>
        <v>0</v>
      </c>
      <c r="E1443" s="726">
        <f t="shared" si="135"/>
        <v>0</v>
      </c>
      <c r="F1443" s="726">
        <f t="shared" si="128"/>
        <v>0</v>
      </c>
      <c r="G1443" s="673">
        <f t="shared" si="129"/>
        <v>0</v>
      </c>
      <c r="H1443" s="721">
        <f>+J1392*G1443+E1443</f>
        <v>0</v>
      </c>
      <c r="I1443" s="727">
        <f>+J1393*G1443+E1443</f>
        <v>0</v>
      </c>
      <c r="J1443" s="724">
        <f t="shared" si="130"/>
        <v>0</v>
      </c>
      <c r="K1443" s="724"/>
      <c r="L1443" s="728"/>
      <c r="M1443" s="724">
        <f t="shared" si="131"/>
        <v>0</v>
      </c>
      <c r="N1443" s="728"/>
      <c r="O1443" s="724">
        <f t="shared" si="132"/>
        <v>0</v>
      </c>
      <c r="P1443" s="724">
        <f t="shared" si="133"/>
        <v>0</v>
      </c>
      <c r="Q1443" s="674"/>
    </row>
    <row r="1444" spans="2:17">
      <c r="B1444" s="330"/>
      <c r="C1444" s="720">
        <f>IF(D1391="","-",+C1443+1)</f>
        <v>2062</v>
      </c>
      <c r="D1444" s="673">
        <f t="shared" si="134"/>
        <v>0</v>
      </c>
      <c r="E1444" s="726">
        <f t="shared" si="135"/>
        <v>0</v>
      </c>
      <c r="F1444" s="726">
        <f t="shared" si="128"/>
        <v>0</v>
      </c>
      <c r="G1444" s="673">
        <f t="shared" si="129"/>
        <v>0</v>
      </c>
      <c r="H1444" s="721">
        <f>+J1392*G1444+E1444</f>
        <v>0</v>
      </c>
      <c r="I1444" s="727">
        <f>+J1393*G1444+E1444</f>
        <v>0</v>
      </c>
      <c r="J1444" s="724">
        <f t="shared" si="130"/>
        <v>0</v>
      </c>
      <c r="K1444" s="724"/>
      <c r="L1444" s="728"/>
      <c r="M1444" s="724">
        <f t="shared" si="131"/>
        <v>0</v>
      </c>
      <c r="N1444" s="728"/>
      <c r="O1444" s="724">
        <f t="shared" si="132"/>
        <v>0</v>
      </c>
      <c r="P1444" s="724">
        <f t="shared" si="133"/>
        <v>0</v>
      </c>
      <c r="Q1444" s="674"/>
    </row>
    <row r="1445" spans="2:17">
      <c r="B1445" s="330"/>
      <c r="C1445" s="720">
        <f>IF(D1391="","-",+C1444+1)</f>
        <v>2063</v>
      </c>
      <c r="D1445" s="673">
        <f t="shared" si="134"/>
        <v>0</v>
      </c>
      <c r="E1445" s="726">
        <f t="shared" si="135"/>
        <v>0</v>
      </c>
      <c r="F1445" s="726">
        <f t="shared" si="128"/>
        <v>0</v>
      </c>
      <c r="G1445" s="673">
        <f t="shared" si="129"/>
        <v>0</v>
      </c>
      <c r="H1445" s="721">
        <f>+J1392*G1445+E1445</f>
        <v>0</v>
      </c>
      <c r="I1445" s="727">
        <f>+J1393*G1445+E1445</f>
        <v>0</v>
      </c>
      <c r="J1445" s="724">
        <f t="shared" si="130"/>
        <v>0</v>
      </c>
      <c r="K1445" s="724"/>
      <c r="L1445" s="728"/>
      <c r="M1445" s="724">
        <f t="shared" si="131"/>
        <v>0</v>
      </c>
      <c r="N1445" s="728"/>
      <c r="O1445" s="724">
        <f t="shared" si="132"/>
        <v>0</v>
      </c>
      <c r="P1445" s="724">
        <f t="shared" si="133"/>
        <v>0</v>
      </c>
      <c r="Q1445" s="674"/>
    </row>
    <row r="1446" spans="2:17">
      <c r="B1446" s="330"/>
      <c r="C1446" s="720">
        <f>IF(D1391="","-",+C1445+1)</f>
        <v>2064</v>
      </c>
      <c r="D1446" s="673">
        <f t="shared" si="134"/>
        <v>0</v>
      </c>
      <c r="E1446" s="726">
        <f t="shared" si="135"/>
        <v>0</v>
      </c>
      <c r="F1446" s="726">
        <f t="shared" si="128"/>
        <v>0</v>
      </c>
      <c r="G1446" s="673">
        <f t="shared" si="129"/>
        <v>0</v>
      </c>
      <c r="H1446" s="721">
        <f>+J1392*G1446+E1446</f>
        <v>0</v>
      </c>
      <c r="I1446" s="727">
        <f>+J1393*G1446+E1446</f>
        <v>0</v>
      </c>
      <c r="J1446" s="724">
        <f t="shared" si="130"/>
        <v>0</v>
      </c>
      <c r="K1446" s="724"/>
      <c r="L1446" s="728"/>
      <c r="M1446" s="724">
        <f t="shared" si="131"/>
        <v>0</v>
      </c>
      <c r="N1446" s="728"/>
      <c r="O1446" s="724">
        <f t="shared" si="132"/>
        <v>0</v>
      </c>
      <c r="P1446" s="724">
        <f t="shared" si="133"/>
        <v>0</v>
      </c>
      <c r="Q1446" s="674"/>
    </row>
    <row r="1447" spans="2:17">
      <c r="B1447" s="330"/>
      <c r="C1447" s="720">
        <f>IF(D1391="","-",+C1446+1)</f>
        <v>2065</v>
      </c>
      <c r="D1447" s="673">
        <f t="shared" si="134"/>
        <v>0</v>
      </c>
      <c r="E1447" s="726">
        <f t="shared" si="135"/>
        <v>0</v>
      </c>
      <c r="F1447" s="726">
        <f t="shared" si="128"/>
        <v>0</v>
      </c>
      <c r="G1447" s="673">
        <f t="shared" si="129"/>
        <v>0</v>
      </c>
      <c r="H1447" s="721">
        <f>+J1392*G1447+E1447</f>
        <v>0</v>
      </c>
      <c r="I1447" s="727">
        <f>+J1393*G1447+E1447</f>
        <v>0</v>
      </c>
      <c r="J1447" s="724">
        <f t="shared" si="130"/>
        <v>0</v>
      </c>
      <c r="K1447" s="724"/>
      <c r="L1447" s="728"/>
      <c r="M1447" s="724">
        <f t="shared" si="131"/>
        <v>0</v>
      </c>
      <c r="N1447" s="728"/>
      <c r="O1447" s="724">
        <f t="shared" si="132"/>
        <v>0</v>
      </c>
      <c r="P1447" s="724">
        <f t="shared" si="133"/>
        <v>0</v>
      </c>
      <c r="Q1447" s="674"/>
    </row>
    <row r="1448" spans="2:17">
      <c r="B1448" s="330"/>
      <c r="C1448" s="720">
        <f>IF(D1391="","-",+C1447+1)</f>
        <v>2066</v>
      </c>
      <c r="D1448" s="673">
        <f t="shared" si="134"/>
        <v>0</v>
      </c>
      <c r="E1448" s="726">
        <f t="shared" si="135"/>
        <v>0</v>
      </c>
      <c r="F1448" s="726">
        <f t="shared" si="128"/>
        <v>0</v>
      </c>
      <c r="G1448" s="673">
        <f t="shared" si="129"/>
        <v>0</v>
      </c>
      <c r="H1448" s="721">
        <f>+J1392*G1448+E1448</f>
        <v>0</v>
      </c>
      <c r="I1448" s="727">
        <f>+J1393*G1448+E1448</f>
        <v>0</v>
      </c>
      <c r="J1448" s="724">
        <f t="shared" si="130"/>
        <v>0</v>
      </c>
      <c r="K1448" s="724"/>
      <c r="L1448" s="728"/>
      <c r="M1448" s="724">
        <f t="shared" si="131"/>
        <v>0</v>
      </c>
      <c r="N1448" s="728"/>
      <c r="O1448" s="724">
        <f t="shared" si="132"/>
        <v>0</v>
      </c>
      <c r="P1448" s="724">
        <f t="shared" si="133"/>
        <v>0</v>
      </c>
      <c r="Q1448" s="674"/>
    </row>
    <row r="1449" spans="2:17">
      <c r="B1449" s="330"/>
      <c r="C1449" s="720">
        <f>IF(D1391="","-",+C1448+1)</f>
        <v>2067</v>
      </c>
      <c r="D1449" s="673">
        <f t="shared" si="134"/>
        <v>0</v>
      </c>
      <c r="E1449" s="726">
        <f t="shared" si="135"/>
        <v>0</v>
      </c>
      <c r="F1449" s="726">
        <f t="shared" si="128"/>
        <v>0</v>
      </c>
      <c r="G1449" s="673">
        <f t="shared" si="129"/>
        <v>0</v>
      </c>
      <c r="H1449" s="721">
        <f>+J1392*G1449+E1449</f>
        <v>0</v>
      </c>
      <c r="I1449" s="727">
        <f>+J1393*G1449+E1449</f>
        <v>0</v>
      </c>
      <c r="J1449" s="724">
        <f t="shared" si="130"/>
        <v>0</v>
      </c>
      <c r="K1449" s="724"/>
      <c r="L1449" s="728"/>
      <c r="M1449" s="724">
        <f t="shared" si="131"/>
        <v>0</v>
      </c>
      <c r="N1449" s="728"/>
      <c r="O1449" s="724">
        <f t="shared" si="132"/>
        <v>0</v>
      </c>
      <c r="P1449" s="724">
        <f t="shared" si="133"/>
        <v>0</v>
      </c>
      <c r="Q1449" s="674"/>
    </row>
    <row r="1450" spans="2:17">
      <c r="B1450" s="330"/>
      <c r="C1450" s="720">
        <f>IF(D1391="","-",+C1449+1)</f>
        <v>2068</v>
      </c>
      <c r="D1450" s="673">
        <f t="shared" si="134"/>
        <v>0</v>
      </c>
      <c r="E1450" s="726">
        <f t="shared" si="135"/>
        <v>0</v>
      </c>
      <c r="F1450" s="726">
        <f t="shared" si="128"/>
        <v>0</v>
      </c>
      <c r="G1450" s="673">
        <f t="shared" si="129"/>
        <v>0</v>
      </c>
      <c r="H1450" s="721">
        <f>+J1392*G1450+E1450</f>
        <v>0</v>
      </c>
      <c r="I1450" s="727">
        <f>+J1393*G1450+E1450</f>
        <v>0</v>
      </c>
      <c r="J1450" s="724">
        <f t="shared" si="130"/>
        <v>0</v>
      </c>
      <c r="K1450" s="724"/>
      <c r="L1450" s="728"/>
      <c r="M1450" s="724">
        <f t="shared" si="131"/>
        <v>0</v>
      </c>
      <c r="N1450" s="728"/>
      <c r="O1450" s="724">
        <f t="shared" si="132"/>
        <v>0</v>
      </c>
      <c r="P1450" s="724">
        <f t="shared" si="133"/>
        <v>0</v>
      </c>
      <c r="Q1450" s="674"/>
    </row>
    <row r="1451" spans="2:17">
      <c r="B1451" s="330"/>
      <c r="C1451" s="720">
        <f>IF(D1391="","-",+C1450+1)</f>
        <v>2069</v>
      </c>
      <c r="D1451" s="673">
        <f t="shared" si="134"/>
        <v>0</v>
      </c>
      <c r="E1451" s="726">
        <f t="shared" si="135"/>
        <v>0</v>
      </c>
      <c r="F1451" s="726">
        <f t="shared" si="128"/>
        <v>0</v>
      </c>
      <c r="G1451" s="673">
        <f t="shared" si="129"/>
        <v>0</v>
      </c>
      <c r="H1451" s="721">
        <f>+J1392*G1451+E1451</f>
        <v>0</v>
      </c>
      <c r="I1451" s="727">
        <f>+J1393*G1451+E1451</f>
        <v>0</v>
      </c>
      <c r="J1451" s="724">
        <f t="shared" si="130"/>
        <v>0</v>
      </c>
      <c r="K1451" s="724"/>
      <c r="L1451" s="728"/>
      <c r="M1451" s="724">
        <f t="shared" si="131"/>
        <v>0</v>
      </c>
      <c r="N1451" s="728"/>
      <c r="O1451" s="724">
        <f t="shared" si="132"/>
        <v>0</v>
      </c>
      <c r="P1451" s="724">
        <f t="shared" si="133"/>
        <v>0</v>
      </c>
      <c r="Q1451" s="674"/>
    </row>
    <row r="1452" spans="2:17">
      <c r="B1452" s="330"/>
      <c r="C1452" s="720">
        <f>IF(D1391="","-",+C1451+1)</f>
        <v>2070</v>
      </c>
      <c r="D1452" s="673">
        <f t="shared" si="134"/>
        <v>0</v>
      </c>
      <c r="E1452" s="726">
        <f t="shared" si="135"/>
        <v>0</v>
      </c>
      <c r="F1452" s="726">
        <f t="shared" si="128"/>
        <v>0</v>
      </c>
      <c r="G1452" s="673">
        <f t="shared" si="129"/>
        <v>0</v>
      </c>
      <c r="H1452" s="721">
        <f>+J1392*G1452+E1452</f>
        <v>0</v>
      </c>
      <c r="I1452" s="727">
        <f>+J1393*G1452+E1452</f>
        <v>0</v>
      </c>
      <c r="J1452" s="724">
        <f t="shared" si="130"/>
        <v>0</v>
      </c>
      <c r="K1452" s="724"/>
      <c r="L1452" s="728"/>
      <c r="M1452" s="724">
        <f t="shared" si="131"/>
        <v>0</v>
      </c>
      <c r="N1452" s="728"/>
      <c r="O1452" s="724">
        <f t="shared" si="132"/>
        <v>0</v>
      </c>
      <c r="P1452" s="724">
        <f t="shared" si="133"/>
        <v>0</v>
      </c>
      <c r="Q1452" s="674"/>
    </row>
    <row r="1453" spans="2:17">
      <c r="B1453" s="330"/>
      <c r="C1453" s="720">
        <f>IF(D1391="","-",+C1452+1)</f>
        <v>2071</v>
      </c>
      <c r="D1453" s="673">
        <f t="shared" si="134"/>
        <v>0</v>
      </c>
      <c r="E1453" s="726">
        <f t="shared" si="135"/>
        <v>0</v>
      </c>
      <c r="F1453" s="726">
        <f t="shared" si="128"/>
        <v>0</v>
      </c>
      <c r="G1453" s="673">
        <f t="shared" si="129"/>
        <v>0</v>
      </c>
      <c r="H1453" s="721">
        <f>+J1392*G1453+E1453</f>
        <v>0</v>
      </c>
      <c r="I1453" s="727">
        <f>+J1393*G1453+E1453</f>
        <v>0</v>
      </c>
      <c r="J1453" s="724">
        <f t="shared" si="130"/>
        <v>0</v>
      </c>
      <c r="K1453" s="724"/>
      <c r="L1453" s="728"/>
      <c r="M1453" s="724">
        <f t="shared" si="131"/>
        <v>0</v>
      </c>
      <c r="N1453" s="728"/>
      <c r="O1453" s="724">
        <f t="shared" si="132"/>
        <v>0</v>
      </c>
      <c r="P1453" s="724">
        <f t="shared" si="133"/>
        <v>0</v>
      </c>
      <c r="Q1453" s="674"/>
    </row>
    <row r="1454" spans="2:17">
      <c r="B1454" s="330"/>
      <c r="C1454" s="720">
        <f>IF(D1391="","-",+C1453+1)</f>
        <v>2072</v>
      </c>
      <c r="D1454" s="673">
        <f t="shared" si="134"/>
        <v>0</v>
      </c>
      <c r="E1454" s="726">
        <f t="shared" si="135"/>
        <v>0</v>
      </c>
      <c r="F1454" s="726">
        <f t="shared" si="128"/>
        <v>0</v>
      </c>
      <c r="G1454" s="673">
        <f t="shared" si="129"/>
        <v>0</v>
      </c>
      <c r="H1454" s="721">
        <f>+J1392*G1454+E1454</f>
        <v>0</v>
      </c>
      <c r="I1454" s="727">
        <f>+J1393*G1454+E1454</f>
        <v>0</v>
      </c>
      <c r="J1454" s="724">
        <f t="shared" si="130"/>
        <v>0</v>
      </c>
      <c r="K1454" s="724"/>
      <c r="L1454" s="728"/>
      <c r="M1454" s="724">
        <f t="shared" si="131"/>
        <v>0</v>
      </c>
      <c r="N1454" s="728"/>
      <c r="O1454" s="724">
        <f t="shared" si="132"/>
        <v>0</v>
      </c>
      <c r="P1454" s="724">
        <f t="shared" si="133"/>
        <v>0</v>
      </c>
      <c r="Q1454" s="674"/>
    </row>
    <row r="1455" spans="2:17">
      <c r="B1455" s="330"/>
      <c r="C1455" s="720">
        <f>IF(D1391="","-",+C1454+1)</f>
        <v>2073</v>
      </c>
      <c r="D1455" s="673">
        <f t="shared" si="134"/>
        <v>0</v>
      </c>
      <c r="E1455" s="726">
        <f t="shared" si="135"/>
        <v>0</v>
      </c>
      <c r="F1455" s="726">
        <f t="shared" si="128"/>
        <v>0</v>
      </c>
      <c r="G1455" s="673">
        <f t="shared" si="129"/>
        <v>0</v>
      </c>
      <c r="H1455" s="721">
        <f>+J1392*G1455+E1455</f>
        <v>0</v>
      </c>
      <c r="I1455" s="727">
        <f>+J1393*G1455+E1455</f>
        <v>0</v>
      </c>
      <c r="J1455" s="724">
        <f t="shared" si="130"/>
        <v>0</v>
      </c>
      <c r="K1455" s="724"/>
      <c r="L1455" s="728"/>
      <c r="M1455" s="724">
        <f t="shared" si="131"/>
        <v>0</v>
      </c>
      <c r="N1455" s="728"/>
      <c r="O1455" s="724">
        <f t="shared" si="132"/>
        <v>0</v>
      </c>
      <c r="P1455" s="724">
        <f t="shared" si="133"/>
        <v>0</v>
      </c>
      <c r="Q1455" s="674"/>
    </row>
    <row r="1456" spans="2:17" ht="13.5" thickBot="1">
      <c r="B1456" s="330"/>
      <c r="C1456" s="730">
        <f>IF(D1391="","-",+C1455+1)</f>
        <v>2074</v>
      </c>
      <c r="D1456" s="731">
        <f t="shared" si="134"/>
        <v>0</v>
      </c>
      <c r="E1456" s="1309">
        <f t="shared" si="135"/>
        <v>0</v>
      </c>
      <c r="F1456" s="732">
        <f t="shared" si="128"/>
        <v>0</v>
      </c>
      <c r="G1456" s="731">
        <f t="shared" si="129"/>
        <v>0</v>
      </c>
      <c r="H1456" s="733">
        <f>+J1392*G1456+E1456</f>
        <v>0</v>
      </c>
      <c r="I1456" s="733">
        <f>+J1393*G1456+E1456</f>
        <v>0</v>
      </c>
      <c r="J1456" s="734">
        <f t="shared" si="130"/>
        <v>0</v>
      </c>
      <c r="K1456" s="724"/>
      <c r="L1456" s="735"/>
      <c r="M1456" s="734">
        <f t="shared" si="131"/>
        <v>0</v>
      </c>
      <c r="N1456" s="735"/>
      <c r="O1456" s="734">
        <f t="shared" si="132"/>
        <v>0</v>
      </c>
      <c r="P1456" s="734">
        <f t="shared" si="133"/>
        <v>0</v>
      </c>
      <c r="Q1456" s="674"/>
    </row>
    <row r="1457" spans="1:17">
      <c r="B1457" s="330"/>
      <c r="C1457" s="673" t="s">
        <v>288</v>
      </c>
      <c r="D1457" s="669"/>
      <c r="E1457" s="669">
        <f>SUM(E1397:E1456)</f>
        <v>620757.1</v>
      </c>
      <c r="F1457" s="669"/>
      <c r="G1457" s="669"/>
      <c r="H1457" s="669">
        <f>SUM(H1397:H1456)</f>
        <v>2811091.3162021386</v>
      </c>
      <c r="I1457" s="669">
        <f>SUM(I1397:I1456)</f>
        <v>2811091.3162021386</v>
      </c>
      <c r="J1457" s="669">
        <f>SUM(J1397:J1456)</f>
        <v>0</v>
      </c>
      <c r="K1457" s="669"/>
      <c r="L1457" s="669"/>
      <c r="M1457" s="669"/>
      <c r="N1457" s="669"/>
      <c r="O1457" s="669"/>
      <c r="Q1457" s="669"/>
    </row>
    <row r="1458" spans="1:17">
      <c r="B1458" s="330"/>
      <c r="D1458" s="563"/>
      <c r="E1458" s="542"/>
      <c r="F1458" s="542"/>
      <c r="G1458" s="542"/>
      <c r="H1458" s="542"/>
      <c r="I1458" s="646"/>
      <c r="J1458" s="646"/>
      <c r="K1458" s="669"/>
      <c r="L1458" s="646"/>
      <c r="M1458" s="646"/>
      <c r="N1458" s="646"/>
      <c r="O1458" s="646"/>
      <c r="Q1458" s="669"/>
    </row>
    <row r="1459" spans="1:17">
      <c r="B1459" s="330"/>
      <c r="C1459" s="542" t="s">
        <v>595</v>
      </c>
      <c r="D1459" s="563"/>
      <c r="E1459" s="542"/>
      <c r="F1459" s="542"/>
      <c r="G1459" s="542"/>
      <c r="H1459" s="542"/>
      <c r="I1459" s="646"/>
      <c r="J1459" s="646"/>
      <c r="K1459" s="669"/>
      <c r="L1459" s="646"/>
      <c r="M1459" s="646"/>
      <c r="N1459" s="646"/>
      <c r="O1459" s="646"/>
      <c r="Q1459" s="669"/>
    </row>
    <row r="1460" spans="1:17">
      <c r="B1460" s="330"/>
      <c r="D1460" s="563"/>
      <c r="E1460" s="542"/>
      <c r="F1460" s="542"/>
      <c r="G1460" s="542"/>
      <c r="H1460" s="542"/>
      <c r="I1460" s="646"/>
      <c r="J1460" s="646"/>
      <c r="K1460" s="669"/>
      <c r="L1460" s="646"/>
      <c r="M1460" s="646"/>
      <c r="N1460" s="646"/>
      <c r="O1460" s="646"/>
      <c r="Q1460" s="669"/>
    </row>
    <row r="1461" spans="1:17">
      <c r="B1461" s="330"/>
      <c r="C1461" s="576" t="s">
        <v>596</v>
      </c>
      <c r="D1461" s="673"/>
      <c r="E1461" s="673"/>
      <c r="F1461" s="673"/>
      <c r="G1461" s="673"/>
      <c r="H1461" s="669"/>
      <c r="I1461" s="669"/>
      <c r="J1461" s="674"/>
      <c r="K1461" s="674"/>
      <c r="L1461" s="674"/>
      <c r="M1461" s="674"/>
      <c r="N1461" s="674"/>
      <c r="O1461" s="674"/>
      <c r="Q1461" s="674"/>
    </row>
    <row r="1462" spans="1:17">
      <c r="B1462" s="330"/>
      <c r="C1462" s="576" t="s">
        <v>476</v>
      </c>
      <c r="D1462" s="673"/>
      <c r="E1462" s="673"/>
      <c r="F1462" s="673"/>
      <c r="G1462" s="673"/>
      <c r="H1462" s="669"/>
      <c r="I1462" s="669"/>
      <c r="J1462" s="674"/>
      <c r="K1462" s="674"/>
      <c r="L1462" s="674"/>
      <c r="M1462" s="674"/>
      <c r="N1462" s="674"/>
      <c r="O1462" s="674"/>
      <c r="Q1462" s="674"/>
    </row>
    <row r="1463" spans="1:17">
      <c r="B1463" s="330"/>
      <c r="C1463" s="576" t="s">
        <v>289</v>
      </c>
      <c r="D1463" s="673"/>
      <c r="E1463" s="673"/>
      <c r="F1463" s="673"/>
      <c r="G1463" s="673"/>
      <c r="H1463" s="669"/>
      <c r="I1463" s="669"/>
      <c r="J1463" s="674"/>
      <c r="K1463" s="674"/>
      <c r="L1463" s="674"/>
      <c r="M1463" s="674"/>
      <c r="N1463" s="674"/>
      <c r="O1463" s="674"/>
      <c r="Q1463" s="674"/>
    </row>
    <row r="1464" spans="1:17" ht="20.25">
      <c r="A1464" s="675" t="s">
        <v>764</v>
      </c>
      <c r="B1464" s="542"/>
      <c r="C1464" s="655"/>
      <c r="D1464" s="563"/>
      <c r="E1464" s="542"/>
      <c r="F1464" s="645"/>
      <c r="G1464" s="645"/>
      <c r="H1464" s="542"/>
      <c r="I1464" s="646"/>
      <c r="L1464" s="676"/>
      <c r="M1464" s="676"/>
      <c r="N1464" s="676"/>
      <c r="O1464" s="591" t="str">
        <f>"Page "&amp;SUM(Q$3:Q1464)&amp;" of "</f>
        <v xml:space="preserve">Page 18 of </v>
      </c>
      <c r="P1464" s="592">
        <f>COUNT(Q$8:Q$58212)</f>
        <v>23</v>
      </c>
      <c r="Q1464" s="756">
        <v>1</v>
      </c>
    </row>
    <row r="1465" spans="1:17">
      <c r="B1465" s="542"/>
      <c r="C1465" s="542"/>
      <c r="D1465" s="563"/>
      <c r="E1465" s="542"/>
      <c r="F1465" s="542"/>
      <c r="G1465" s="542"/>
      <c r="H1465" s="542"/>
      <c r="I1465" s="646"/>
      <c r="J1465" s="542"/>
      <c r="K1465" s="588"/>
      <c r="Q1465" s="588"/>
    </row>
    <row r="1466" spans="1:17" ht="18">
      <c r="B1466" s="595" t="s">
        <v>174</v>
      </c>
      <c r="C1466" s="677" t="s">
        <v>290</v>
      </c>
      <c r="D1466" s="563"/>
      <c r="E1466" s="542"/>
      <c r="F1466" s="542"/>
      <c r="G1466" s="542"/>
      <c r="H1466" s="542"/>
      <c r="I1466" s="646"/>
      <c r="J1466" s="646"/>
      <c r="K1466" s="669"/>
      <c r="L1466" s="646"/>
      <c r="M1466" s="646"/>
      <c r="N1466" s="646"/>
      <c r="O1466" s="646"/>
      <c r="Q1466" s="669"/>
    </row>
    <row r="1467" spans="1:17" ht="18.75">
      <c r="B1467" s="595"/>
      <c r="C1467" s="594"/>
      <c r="D1467" s="563"/>
      <c r="E1467" s="542"/>
      <c r="F1467" s="542"/>
      <c r="G1467" s="542"/>
      <c r="H1467" s="542"/>
      <c r="I1467" s="646"/>
      <c r="J1467" s="646"/>
      <c r="K1467" s="669"/>
      <c r="L1467" s="646"/>
      <c r="M1467" s="646"/>
      <c r="N1467" s="646"/>
      <c r="O1467" s="646"/>
      <c r="Q1467" s="669"/>
    </row>
    <row r="1468" spans="1:17" ht="18.75">
      <c r="B1468" s="595"/>
      <c r="C1468" s="594" t="s">
        <v>291</v>
      </c>
      <c r="D1468" s="563"/>
      <c r="E1468" s="542"/>
      <c r="F1468" s="542"/>
      <c r="G1468" s="542"/>
      <c r="H1468" s="542"/>
      <c r="I1468" s="646"/>
      <c r="J1468" s="646"/>
      <c r="K1468" s="669"/>
      <c r="L1468" s="646"/>
      <c r="M1468" s="646"/>
      <c r="N1468" s="646"/>
      <c r="O1468" s="646"/>
      <c r="Q1468" s="669"/>
    </row>
    <row r="1469" spans="1:17" ht="15.75" thickBot="1">
      <c r="B1469" s="330"/>
      <c r="C1469" s="396"/>
      <c r="D1469" s="563"/>
      <c r="E1469" s="542"/>
      <c r="F1469" s="542"/>
      <c r="G1469" s="542"/>
      <c r="H1469" s="542"/>
      <c r="I1469" s="646"/>
      <c r="J1469" s="646"/>
      <c r="K1469" s="669"/>
      <c r="L1469" s="646"/>
      <c r="M1469" s="646"/>
      <c r="N1469" s="646"/>
      <c r="O1469" s="646"/>
      <c r="Q1469" s="669"/>
    </row>
    <row r="1470" spans="1:17" ht="15.75">
      <c r="B1470" s="330"/>
      <c r="C1470" s="596" t="s">
        <v>292</v>
      </c>
      <c r="D1470" s="563"/>
      <c r="E1470" s="542"/>
      <c r="F1470" s="542"/>
      <c r="G1470" s="542"/>
      <c r="H1470" s="864"/>
      <c r="I1470" s="542" t="s">
        <v>271</v>
      </c>
      <c r="J1470" s="542"/>
      <c r="K1470" s="588"/>
      <c r="L1470" s="757">
        <f>+J1476</f>
        <v>2021</v>
      </c>
      <c r="M1470" s="739" t="s">
        <v>254</v>
      </c>
      <c r="N1470" s="739" t="s">
        <v>255</v>
      </c>
      <c r="O1470" s="740" t="s">
        <v>256</v>
      </c>
      <c r="Q1470" s="588"/>
    </row>
    <row r="1471" spans="1:17" ht="15.75">
      <c r="B1471" s="330"/>
      <c r="C1471" s="596"/>
      <c r="D1471" s="563"/>
      <c r="E1471" s="542"/>
      <c r="F1471" s="542"/>
      <c r="H1471" s="542"/>
      <c r="I1471" s="681"/>
      <c r="J1471" s="681"/>
      <c r="K1471" s="682"/>
      <c r="L1471" s="758" t="s">
        <v>455</v>
      </c>
      <c r="M1471" s="759">
        <f>VLOOKUP(J1476,C1483:P1542,10)</f>
        <v>1015315.1476237839</v>
      </c>
      <c r="N1471" s="759">
        <f>VLOOKUP(J1476,C1483:P1542,12)</f>
        <v>1015315.1476237839</v>
      </c>
      <c r="O1471" s="760">
        <f>+N1471-M1471</f>
        <v>0</v>
      </c>
      <c r="Q1471" s="682"/>
    </row>
    <row r="1472" spans="1:17">
      <c r="B1472" s="330"/>
      <c r="C1472" s="684" t="s">
        <v>293</v>
      </c>
      <c r="D1472" s="1703" t="s">
        <v>950</v>
      </c>
      <c r="E1472" s="1703"/>
      <c r="F1472" s="1703"/>
      <c r="G1472" s="1703" t="s">
        <v>950</v>
      </c>
      <c r="H1472" s="1703"/>
      <c r="I1472" s="1703"/>
      <c r="J1472" s="646"/>
      <c r="K1472" s="669"/>
      <c r="L1472" s="758" t="s">
        <v>456</v>
      </c>
      <c r="M1472" s="761">
        <f>VLOOKUP(J1476,C1483:P1542,6)</f>
        <v>1075651.5018381595</v>
      </c>
      <c r="N1472" s="761">
        <f>VLOOKUP(J1476,C1483:P1542,7)</f>
        <v>1075651.5018381595</v>
      </c>
      <c r="O1472" s="762">
        <f>+N1472-M1472</f>
        <v>0</v>
      </c>
      <c r="Q1472" s="669"/>
    </row>
    <row r="1473" spans="1:17" ht="13.5" thickBot="1">
      <c r="B1473" s="330"/>
      <c r="C1473" s="686"/>
      <c r="D1473" s="690" t="s">
        <v>114</v>
      </c>
      <c r="E1473" s="688"/>
      <c r="F1473" s="688"/>
      <c r="G1473" s="688"/>
      <c r="H1473" s="688"/>
      <c r="I1473" s="688"/>
      <c r="J1473" s="646"/>
      <c r="K1473" s="669"/>
      <c r="L1473" s="705" t="s">
        <v>457</v>
      </c>
      <c r="M1473" s="763">
        <f>+M1472-M1471</f>
        <v>60336.354214375606</v>
      </c>
      <c r="N1473" s="763">
        <f>+N1472-N1471</f>
        <v>60336.354214375606</v>
      </c>
      <c r="O1473" s="764">
        <f>+O1472-O1471</f>
        <v>0</v>
      </c>
      <c r="Q1473" s="669"/>
    </row>
    <row r="1474" spans="1:17" ht="13.5" thickBot="1">
      <c r="B1474" s="330"/>
      <c r="C1474" s="689"/>
      <c r="D1474" s="690"/>
      <c r="E1474" s="688"/>
      <c r="F1474" s="688"/>
      <c r="G1474" s="688"/>
      <c r="H1474" s="688"/>
      <c r="I1474" s="688"/>
      <c r="J1474" s="688"/>
      <c r="K1474" s="691"/>
      <c r="L1474" s="688"/>
      <c r="M1474" s="688"/>
      <c r="N1474" s="688"/>
      <c r="O1474" s="688"/>
      <c r="P1474" s="576"/>
      <c r="Q1474" s="691"/>
    </row>
    <row r="1475" spans="1:17" ht="13.5" thickBot="1">
      <c r="B1475" s="330"/>
      <c r="C1475" s="692" t="s">
        <v>294</v>
      </c>
      <c r="D1475" s="693"/>
      <c r="E1475" s="693"/>
      <c r="F1475" s="693"/>
      <c r="G1475" s="693"/>
      <c r="H1475" s="693"/>
      <c r="I1475" s="693"/>
      <c r="J1475" s="693"/>
      <c r="K1475" s="695"/>
      <c r="P1475" s="696"/>
      <c r="Q1475" s="695"/>
    </row>
    <row r="1476" spans="1:17" ht="15">
      <c r="A1476" s="1310"/>
      <c r="B1476" s="330"/>
      <c r="C1476" s="697" t="s">
        <v>272</v>
      </c>
      <c r="D1476" s="1253">
        <v>6852887.8200000003</v>
      </c>
      <c r="E1476" s="655" t="s">
        <v>273</v>
      </c>
      <c r="H1476" s="698"/>
      <c r="I1476" s="698"/>
      <c r="J1476" s="1451">
        <f>$J$95</f>
        <v>2021</v>
      </c>
      <c r="K1476" s="586"/>
      <c r="L1476" s="1717" t="s">
        <v>274</v>
      </c>
      <c r="M1476" s="1717"/>
      <c r="N1476" s="1717"/>
      <c r="O1476" s="1717"/>
      <c r="P1476" s="588"/>
      <c r="Q1476" s="586"/>
    </row>
    <row r="1477" spans="1:17">
      <c r="A1477" s="1310"/>
      <c r="B1477" s="330"/>
      <c r="C1477" s="697" t="s">
        <v>275</v>
      </c>
      <c r="D1477" s="865">
        <v>2015</v>
      </c>
      <c r="E1477" s="697" t="s">
        <v>276</v>
      </c>
      <c r="F1477" s="698"/>
      <c r="G1477" s="698"/>
      <c r="I1477" s="330"/>
      <c r="J1477" s="867">
        <v>0</v>
      </c>
      <c r="K1477" s="700"/>
      <c r="L1477" s="669" t="s">
        <v>475</v>
      </c>
      <c r="P1477" s="588"/>
      <c r="Q1477" s="700"/>
    </row>
    <row r="1478" spans="1:17">
      <c r="A1478" s="1310"/>
      <c r="B1478" s="330"/>
      <c r="C1478" s="697" t="s">
        <v>277</v>
      </c>
      <c r="D1478" s="1253">
        <v>12</v>
      </c>
      <c r="E1478" s="697" t="s">
        <v>278</v>
      </c>
      <c r="F1478" s="698"/>
      <c r="G1478" s="698"/>
      <c r="I1478" s="330"/>
      <c r="J1478" s="701">
        <f>$F$70</f>
        <v>0.15341253840442806</v>
      </c>
      <c r="K1478" s="702"/>
      <c r="L1478" s="542" t="str">
        <f>"          INPUT TRUE-UP ARR (WITH &amp; WITHOUT INCENTIVES) FROM EACH PRIOR YEAR"</f>
        <v xml:space="preserve">          INPUT TRUE-UP ARR (WITH &amp; WITHOUT INCENTIVES) FROM EACH PRIOR YEAR</v>
      </c>
      <c r="P1478" s="588"/>
      <c r="Q1478" s="702"/>
    </row>
    <row r="1479" spans="1:17">
      <c r="A1479" s="1310"/>
      <c r="B1479" s="330"/>
      <c r="C1479" s="697" t="s">
        <v>279</v>
      </c>
      <c r="D1479" s="703">
        <f>H79</f>
        <v>44</v>
      </c>
      <c r="E1479" s="697" t="s">
        <v>280</v>
      </c>
      <c r="F1479" s="698"/>
      <c r="G1479" s="698"/>
      <c r="I1479" s="330"/>
      <c r="J1479" s="701">
        <f>IF(H1470="",J1478,$F$69)</f>
        <v>0.15341253840442806</v>
      </c>
      <c r="K1479" s="704"/>
      <c r="L1479" s="542" t="s">
        <v>362</v>
      </c>
      <c r="M1479" s="704"/>
      <c r="N1479" s="704"/>
      <c r="O1479" s="704"/>
      <c r="P1479" s="588"/>
      <c r="Q1479" s="704"/>
    </row>
    <row r="1480" spans="1:17" ht="13.5" thickBot="1">
      <c r="A1480" s="1310"/>
      <c r="B1480" s="330"/>
      <c r="C1480" s="697" t="s">
        <v>281</v>
      </c>
      <c r="D1480" s="866" t="s">
        <v>933</v>
      </c>
      <c r="E1480" s="705" t="s">
        <v>282</v>
      </c>
      <c r="F1480" s="706"/>
      <c r="G1480" s="706"/>
      <c r="H1480" s="707"/>
      <c r="I1480" s="707"/>
      <c r="J1480" s="685">
        <f>IF(D1476=0,0,D1476/D1479)</f>
        <v>155747.45045454547</v>
      </c>
      <c r="K1480" s="669"/>
      <c r="L1480" s="669" t="s">
        <v>363</v>
      </c>
      <c r="M1480" s="669"/>
      <c r="N1480" s="669"/>
      <c r="O1480" s="669"/>
      <c r="P1480" s="588"/>
      <c r="Q1480" s="669"/>
    </row>
    <row r="1481" spans="1:17" ht="38.25">
      <c r="A1481" s="529"/>
      <c r="B1481" s="529"/>
      <c r="C1481" s="708" t="s">
        <v>272</v>
      </c>
      <c r="D1481" s="709" t="s">
        <v>283</v>
      </c>
      <c r="E1481" s="710" t="s">
        <v>284</v>
      </c>
      <c r="F1481" s="709" t="s">
        <v>285</v>
      </c>
      <c r="G1481" s="709" t="s">
        <v>458</v>
      </c>
      <c r="H1481" s="710" t="s">
        <v>356</v>
      </c>
      <c r="I1481" s="711" t="s">
        <v>356</v>
      </c>
      <c r="J1481" s="708" t="s">
        <v>295</v>
      </c>
      <c r="K1481" s="712"/>
      <c r="L1481" s="710" t="s">
        <v>358</v>
      </c>
      <c r="M1481" s="710" t="s">
        <v>364</v>
      </c>
      <c r="N1481" s="710" t="s">
        <v>358</v>
      </c>
      <c r="O1481" s="710" t="s">
        <v>366</v>
      </c>
      <c r="P1481" s="710" t="s">
        <v>286</v>
      </c>
      <c r="Q1481" s="713"/>
    </row>
    <row r="1482" spans="1:17" ht="13.5" thickBot="1">
      <c r="B1482" s="330"/>
      <c r="C1482" s="714" t="s">
        <v>177</v>
      </c>
      <c r="D1482" s="715" t="s">
        <v>178</v>
      </c>
      <c r="E1482" s="714" t="s">
        <v>37</v>
      </c>
      <c r="F1482" s="715" t="s">
        <v>178</v>
      </c>
      <c r="G1482" s="715" t="s">
        <v>178</v>
      </c>
      <c r="H1482" s="716" t="s">
        <v>298</v>
      </c>
      <c r="I1482" s="717" t="s">
        <v>300</v>
      </c>
      <c r="J1482" s="718" t="s">
        <v>389</v>
      </c>
      <c r="K1482" s="719"/>
      <c r="L1482" s="716" t="s">
        <v>287</v>
      </c>
      <c r="M1482" s="716" t="s">
        <v>287</v>
      </c>
      <c r="N1482" s="716" t="s">
        <v>467</v>
      </c>
      <c r="O1482" s="716" t="s">
        <v>467</v>
      </c>
      <c r="P1482" s="716" t="s">
        <v>467</v>
      </c>
      <c r="Q1482" s="586"/>
    </row>
    <row r="1483" spans="1:17">
      <c r="B1483" s="330"/>
      <c r="C1483" s="720">
        <f>IF(D1477= "","-",D1477)</f>
        <v>2015</v>
      </c>
      <c r="D1483" s="673">
        <f>+D1476</f>
        <v>6852887.8200000003</v>
      </c>
      <c r="E1483" s="721">
        <f>+J1480/12*(12-D1478)</f>
        <v>0</v>
      </c>
      <c r="F1483" s="765">
        <f t="shared" ref="F1483:F1542" si="136">+D1483-E1483</f>
        <v>6852887.8200000003</v>
      </c>
      <c r="G1483" s="673">
        <f t="shared" ref="G1483:G1542" si="137">+(D1483+F1483)/2</f>
        <v>6852887.8200000003</v>
      </c>
      <c r="H1483" s="722">
        <f>+J1478*G1483+E1483</f>
        <v>1051318.9158669873</v>
      </c>
      <c r="I1483" s="723">
        <f>+J1479*G1483+E1483</f>
        <v>1051318.9158669873</v>
      </c>
      <c r="J1483" s="724">
        <f t="shared" ref="J1483:J1542" si="138">+I1483-H1483</f>
        <v>0</v>
      </c>
      <c r="K1483" s="724"/>
      <c r="L1483" s="728">
        <v>1039339</v>
      </c>
      <c r="M1483" s="766">
        <f t="shared" ref="M1483:M1542" si="139">IF(L1483&lt;&gt;0,+H1483-L1483,0)</f>
        <v>11979.915866987314</v>
      </c>
      <c r="N1483" s="728">
        <v>1039339</v>
      </c>
      <c r="O1483" s="766">
        <f t="shared" ref="O1483:O1542" si="140">IF(N1483&lt;&gt;0,+I1483-N1483,0)</f>
        <v>11979.915866987314</v>
      </c>
      <c r="P1483" s="766">
        <f t="shared" ref="P1483:P1542" si="141">+O1483-M1483</f>
        <v>0</v>
      </c>
      <c r="Q1483" s="674"/>
    </row>
    <row r="1484" spans="1:17">
      <c r="B1484" s="330"/>
      <c r="C1484" s="720">
        <f>IF(D1477="","-",+C1483+1)</f>
        <v>2016</v>
      </c>
      <c r="D1484" s="673">
        <f t="shared" ref="D1484:D1542" si="142">F1483</f>
        <v>6852887.8200000003</v>
      </c>
      <c r="E1484" s="726">
        <f>IF(D1484&gt;$J$1480,$J$1480,D1484)</f>
        <v>155747.45045454547</v>
      </c>
      <c r="F1484" s="726">
        <f t="shared" si="136"/>
        <v>6697140.3695454551</v>
      </c>
      <c r="G1484" s="673">
        <f t="shared" si="137"/>
        <v>6775014.0947727282</v>
      </c>
      <c r="H1484" s="721">
        <f>+J1478*G1484+E1484</f>
        <v>1195119.560459408</v>
      </c>
      <c r="I1484" s="727">
        <f>+J1479*G1484+E1484</f>
        <v>1195119.560459408</v>
      </c>
      <c r="J1484" s="724">
        <f t="shared" si="138"/>
        <v>0</v>
      </c>
      <c r="K1484" s="724"/>
      <c r="L1484" s="728">
        <v>1387490</v>
      </c>
      <c r="M1484" s="724">
        <f t="shared" si="139"/>
        <v>-192370.43954059202</v>
      </c>
      <c r="N1484" s="728">
        <v>1387490</v>
      </c>
      <c r="O1484" s="724">
        <f t="shared" si="140"/>
        <v>-192370.43954059202</v>
      </c>
      <c r="P1484" s="724">
        <f t="shared" si="141"/>
        <v>0</v>
      </c>
      <c r="Q1484" s="674"/>
    </row>
    <row r="1485" spans="1:17">
      <c r="B1485" s="330"/>
      <c r="C1485" s="720">
        <f>IF(D1477="","-",+C1484+1)</f>
        <v>2017</v>
      </c>
      <c r="D1485" s="673">
        <f t="shared" si="142"/>
        <v>6697140.3695454551</v>
      </c>
      <c r="E1485" s="726">
        <f t="shared" ref="E1485:E1542" si="143">IF(D1485&gt;$J$1480,$J$1480,D1485)</f>
        <v>155747.45045454547</v>
      </c>
      <c r="F1485" s="726">
        <f t="shared" si="136"/>
        <v>6541392.9190909099</v>
      </c>
      <c r="G1485" s="673">
        <f t="shared" si="137"/>
        <v>6619266.644318182</v>
      </c>
      <c r="H1485" s="721">
        <f>+J1478*G1485+E1485</f>
        <v>1171225.9487351582</v>
      </c>
      <c r="I1485" s="727">
        <f>+J1479*G1485+E1485</f>
        <v>1171225.9487351582</v>
      </c>
      <c r="J1485" s="724">
        <f t="shared" si="138"/>
        <v>0</v>
      </c>
      <c r="K1485" s="724"/>
      <c r="L1485" s="728">
        <v>1411523</v>
      </c>
      <c r="M1485" s="724">
        <f t="shared" si="139"/>
        <v>-240297.05126484181</v>
      </c>
      <c r="N1485" s="728">
        <v>1411523</v>
      </c>
      <c r="O1485" s="724">
        <f t="shared" si="140"/>
        <v>-240297.05126484181</v>
      </c>
      <c r="P1485" s="724">
        <f t="shared" si="141"/>
        <v>0</v>
      </c>
      <c r="Q1485" s="674"/>
    </row>
    <row r="1486" spans="1:17">
      <c r="B1486" s="330"/>
      <c r="C1486" s="720">
        <f>IF(D1477="","-",+C1485+1)</f>
        <v>2018</v>
      </c>
      <c r="D1486" s="1455">
        <f t="shared" si="142"/>
        <v>6541392.9190909099</v>
      </c>
      <c r="E1486" s="726">
        <f t="shared" si="143"/>
        <v>155747.45045454547</v>
      </c>
      <c r="F1486" s="726">
        <f t="shared" si="136"/>
        <v>6385645.4686363647</v>
      </c>
      <c r="G1486" s="673">
        <f t="shared" si="137"/>
        <v>6463519.1938636377</v>
      </c>
      <c r="H1486" s="721">
        <f>+J1478*G1486+E1486</f>
        <v>1147332.3370109086</v>
      </c>
      <c r="I1486" s="727">
        <f>+J1479*G1486+E1486</f>
        <v>1147332.3370109086</v>
      </c>
      <c r="J1486" s="724">
        <f t="shared" si="138"/>
        <v>0</v>
      </c>
      <c r="K1486" s="724"/>
      <c r="L1486" s="728">
        <v>1133578</v>
      </c>
      <c r="M1486" s="724">
        <f t="shared" si="139"/>
        <v>13754.337010908639</v>
      </c>
      <c r="N1486" s="728">
        <v>1133578</v>
      </c>
      <c r="O1486" s="724">
        <f t="shared" si="140"/>
        <v>13754.337010908639</v>
      </c>
      <c r="P1486" s="724">
        <f t="shared" si="141"/>
        <v>0</v>
      </c>
      <c r="Q1486" s="674"/>
    </row>
    <row r="1487" spans="1:17">
      <c r="B1487" s="330"/>
      <c r="C1487" s="720">
        <f>IF(D1477="","-",+C1486+1)</f>
        <v>2019</v>
      </c>
      <c r="D1487" s="1269">
        <f t="shared" si="142"/>
        <v>6385645.4686363647</v>
      </c>
      <c r="E1487" s="726">
        <f t="shared" si="143"/>
        <v>155747.45045454547</v>
      </c>
      <c r="F1487" s="726">
        <f t="shared" si="136"/>
        <v>6229898.0181818195</v>
      </c>
      <c r="G1487" s="673">
        <f t="shared" si="137"/>
        <v>6307771.7434090916</v>
      </c>
      <c r="H1487" s="721">
        <f>+J1478*G1487+E1487</f>
        <v>1123438.7252866589</v>
      </c>
      <c r="I1487" s="727">
        <f>+J1479*G1487+E1487</f>
        <v>1123438.7252866589</v>
      </c>
      <c r="J1487" s="724">
        <f t="shared" si="138"/>
        <v>0</v>
      </c>
      <c r="K1487" s="724"/>
      <c r="L1487" s="1452">
        <v>1103114</v>
      </c>
      <c r="M1487" s="724">
        <f t="shared" si="139"/>
        <v>20324.725286658853</v>
      </c>
      <c r="N1487" s="1452">
        <v>1103114</v>
      </c>
      <c r="O1487" s="724">
        <f t="shared" si="140"/>
        <v>20324.725286658853</v>
      </c>
      <c r="P1487" s="724">
        <f t="shared" si="141"/>
        <v>0</v>
      </c>
      <c r="Q1487" s="674"/>
    </row>
    <row r="1488" spans="1:17">
      <c r="B1488" s="330"/>
      <c r="C1488" s="720">
        <f>IF(D1477="","-",+C1487+1)</f>
        <v>2020</v>
      </c>
      <c r="D1488" s="1269">
        <f t="shared" si="142"/>
        <v>6229898.0181818195</v>
      </c>
      <c r="E1488" s="726">
        <f t="shared" si="143"/>
        <v>155747.45045454547</v>
      </c>
      <c r="F1488" s="726">
        <f t="shared" si="136"/>
        <v>6074150.5677272743</v>
      </c>
      <c r="G1488" s="673">
        <f t="shared" si="137"/>
        <v>6152024.2929545473</v>
      </c>
      <c r="H1488" s="721">
        <f>+J1478*G1488+E1488</f>
        <v>1099545.1135624093</v>
      </c>
      <c r="I1488" s="727">
        <f>+J1479*G1488+E1488</f>
        <v>1099545.1135624093</v>
      </c>
      <c r="J1488" s="724">
        <f t="shared" si="138"/>
        <v>0</v>
      </c>
      <c r="K1488" s="724"/>
      <c r="L1488" s="728">
        <v>1063518.9702613764</v>
      </c>
      <c r="M1488" s="724">
        <f t="shared" si="139"/>
        <v>36026.143301032949</v>
      </c>
      <c r="N1488" s="1548">
        <v>1063518.9702613764</v>
      </c>
      <c r="O1488" s="724">
        <f t="shared" si="140"/>
        <v>36026.143301032949</v>
      </c>
      <c r="P1488" s="724">
        <f t="shared" si="141"/>
        <v>0</v>
      </c>
      <c r="Q1488" s="674"/>
    </row>
    <row r="1489" spans="2:17">
      <c r="B1489" s="330"/>
      <c r="C1489" s="720">
        <f>IF(D1477="","-",+C1488+1)</f>
        <v>2021</v>
      </c>
      <c r="D1489" s="1269">
        <f t="shared" si="142"/>
        <v>6074150.5677272743</v>
      </c>
      <c r="E1489" s="726">
        <f t="shared" si="143"/>
        <v>155747.45045454547</v>
      </c>
      <c r="F1489" s="726">
        <f t="shared" si="136"/>
        <v>5918403.1172727291</v>
      </c>
      <c r="G1489" s="673">
        <f t="shared" si="137"/>
        <v>5996276.8425000012</v>
      </c>
      <c r="H1489" s="721">
        <f>+J1478*G1489+E1489</f>
        <v>1075651.5018381595</v>
      </c>
      <c r="I1489" s="727">
        <f>+J1479*G1489+E1489</f>
        <v>1075651.5018381595</v>
      </c>
      <c r="J1489" s="724">
        <f t="shared" si="138"/>
        <v>0</v>
      </c>
      <c r="K1489" s="724"/>
      <c r="L1489" s="728">
        <v>1015315.1476237839</v>
      </c>
      <c r="M1489" s="724">
        <f t="shared" si="139"/>
        <v>60336.354214375606</v>
      </c>
      <c r="N1489" s="1548">
        <v>1015315.1476237839</v>
      </c>
      <c r="O1489" s="724">
        <f t="shared" si="140"/>
        <v>60336.354214375606</v>
      </c>
      <c r="P1489" s="724">
        <f t="shared" si="141"/>
        <v>0</v>
      </c>
      <c r="Q1489" s="674"/>
    </row>
    <row r="1490" spans="2:17">
      <c r="B1490" s="330"/>
      <c r="C1490" s="720">
        <f>IF(D1477="","-",+C1489+1)</f>
        <v>2022</v>
      </c>
      <c r="D1490" s="673">
        <f t="shared" si="142"/>
        <v>5918403.1172727291</v>
      </c>
      <c r="E1490" s="726">
        <f t="shared" si="143"/>
        <v>155747.45045454547</v>
      </c>
      <c r="F1490" s="726">
        <f t="shared" si="136"/>
        <v>5762655.6668181838</v>
      </c>
      <c r="G1490" s="673">
        <f t="shared" si="137"/>
        <v>5840529.3920454569</v>
      </c>
      <c r="H1490" s="721">
        <f>+J1478*G1490+E1490</f>
        <v>1051757.89011391</v>
      </c>
      <c r="I1490" s="727">
        <f>+J1479*G1490+E1490</f>
        <v>1051757.89011391</v>
      </c>
      <c r="J1490" s="724">
        <f t="shared" si="138"/>
        <v>0</v>
      </c>
      <c r="K1490" s="724"/>
      <c r="L1490" s="728">
        <v>0</v>
      </c>
      <c r="M1490" s="724">
        <f t="shared" si="139"/>
        <v>0</v>
      </c>
      <c r="N1490" s="728">
        <v>0</v>
      </c>
      <c r="O1490" s="724">
        <f t="shared" si="140"/>
        <v>0</v>
      </c>
      <c r="P1490" s="724">
        <f t="shared" si="141"/>
        <v>0</v>
      </c>
      <c r="Q1490" s="674"/>
    </row>
    <row r="1491" spans="2:17">
      <c r="B1491" s="330"/>
      <c r="C1491" s="720">
        <f>IF(D1477="","-",+C1490+1)</f>
        <v>2023</v>
      </c>
      <c r="D1491" s="673">
        <f t="shared" si="142"/>
        <v>5762655.6668181838</v>
      </c>
      <c r="E1491" s="726">
        <f t="shared" si="143"/>
        <v>155747.45045454547</v>
      </c>
      <c r="F1491" s="726">
        <f t="shared" si="136"/>
        <v>5606908.2163636386</v>
      </c>
      <c r="G1491" s="673">
        <f t="shared" si="137"/>
        <v>5684781.9415909108</v>
      </c>
      <c r="H1491" s="721">
        <f>+J1478*G1491+E1491</f>
        <v>1027864.2783896602</v>
      </c>
      <c r="I1491" s="727">
        <f>+J1479*G1491+E1491</f>
        <v>1027864.2783896602</v>
      </c>
      <c r="J1491" s="724">
        <f t="shared" si="138"/>
        <v>0</v>
      </c>
      <c r="K1491" s="724"/>
      <c r="L1491" s="728">
        <v>0</v>
      </c>
      <c r="M1491" s="724">
        <f t="shared" si="139"/>
        <v>0</v>
      </c>
      <c r="N1491" s="728">
        <v>0</v>
      </c>
      <c r="O1491" s="724">
        <f t="shared" si="140"/>
        <v>0</v>
      </c>
      <c r="P1491" s="724">
        <f t="shared" si="141"/>
        <v>0</v>
      </c>
      <c r="Q1491" s="674"/>
    </row>
    <row r="1492" spans="2:17">
      <c r="B1492" s="330"/>
      <c r="C1492" s="1291">
        <f>IF(D1477="","-",+C1491+1)</f>
        <v>2024</v>
      </c>
      <c r="D1492" s="673">
        <f t="shared" si="142"/>
        <v>5606908.2163636386</v>
      </c>
      <c r="E1492" s="726">
        <f t="shared" si="143"/>
        <v>155747.45045454547</v>
      </c>
      <c r="F1492" s="726">
        <f t="shared" si="136"/>
        <v>5451160.7659090934</v>
      </c>
      <c r="G1492" s="673">
        <f t="shared" si="137"/>
        <v>5529034.4911363665</v>
      </c>
      <c r="H1492" s="721">
        <f>+J1478*G1492+E1492</f>
        <v>1003970.6666654106</v>
      </c>
      <c r="I1492" s="727">
        <f>+J1479*G1492+E1492</f>
        <v>1003970.6666654106</v>
      </c>
      <c r="J1492" s="724">
        <f t="shared" si="138"/>
        <v>0</v>
      </c>
      <c r="K1492" s="724"/>
      <c r="L1492" s="728">
        <v>0</v>
      </c>
      <c r="M1492" s="724">
        <f t="shared" si="139"/>
        <v>0</v>
      </c>
      <c r="N1492" s="728">
        <v>0</v>
      </c>
      <c r="O1492" s="724">
        <f t="shared" si="140"/>
        <v>0</v>
      </c>
      <c r="P1492" s="724">
        <f t="shared" si="141"/>
        <v>0</v>
      </c>
      <c r="Q1492" s="674"/>
    </row>
    <row r="1493" spans="2:17">
      <c r="B1493" s="330"/>
      <c r="C1493" s="720">
        <f>IF(D1477="","-",+C1492+1)</f>
        <v>2025</v>
      </c>
      <c r="D1493" s="673">
        <f t="shared" si="142"/>
        <v>5451160.7659090934</v>
      </c>
      <c r="E1493" s="726">
        <f t="shared" si="143"/>
        <v>155747.45045454547</v>
      </c>
      <c r="F1493" s="726">
        <f t="shared" si="136"/>
        <v>5295413.3154545482</v>
      </c>
      <c r="G1493" s="673">
        <f t="shared" si="137"/>
        <v>5373287.0406818204</v>
      </c>
      <c r="H1493" s="721">
        <f>+J1478*G1493+E1493</f>
        <v>980077.05494116084</v>
      </c>
      <c r="I1493" s="727">
        <f>+J1479*G1493+E1493</f>
        <v>980077.05494116084</v>
      </c>
      <c r="J1493" s="724">
        <f t="shared" si="138"/>
        <v>0</v>
      </c>
      <c r="K1493" s="724"/>
      <c r="L1493" s="728"/>
      <c r="M1493" s="724">
        <f t="shared" si="139"/>
        <v>0</v>
      </c>
      <c r="N1493" s="728"/>
      <c r="O1493" s="724">
        <f t="shared" si="140"/>
        <v>0</v>
      </c>
      <c r="P1493" s="724">
        <f t="shared" si="141"/>
        <v>0</v>
      </c>
      <c r="Q1493" s="674"/>
    </row>
    <row r="1494" spans="2:17">
      <c r="B1494" s="330"/>
      <c r="C1494" s="720">
        <f>IF(D1477="","-",+C1493+1)</f>
        <v>2026</v>
      </c>
      <c r="D1494" s="673">
        <f t="shared" si="142"/>
        <v>5295413.3154545482</v>
      </c>
      <c r="E1494" s="726">
        <f t="shared" si="143"/>
        <v>155747.45045454547</v>
      </c>
      <c r="F1494" s="726">
        <f t="shared" si="136"/>
        <v>5139665.865000003</v>
      </c>
      <c r="G1494" s="673">
        <f t="shared" si="137"/>
        <v>5217539.5902272761</v>
      </c>
      <c r="H1494" s="721">
        <f>+J1478*G1494+E1494</f>
        <v>956183.44321691128</v>
      </c>
      <c r="I1494" s="727">
        <f>+J1479*G1494+E1494</f>
        <v>956183.44321691128</v>
      </c>
      <c r="J1494" s="724">
        <f t="shared" si="138"/>
        <v>0</v>
      </c>
      <c r="K1494" s="724"/>
      <c r="L1494" s="728"/>
      <c r="M1494" s="724">
        <f t="shared" si="139"/>
        <v>0</v>
      </c>
      <c r="N1494" s="728"/>
      <c r="O1494" s="724">
        <f t="shared" si="140"/>
        <v>0</v>
      </c>
      <c r="P1494" s="724">
        <f t="shared" si="141"/>
        <v>0</v>
      </c>
      <c r="Q1494" s="674"/>
    </row>
    <row r="1495" spans="2:17">
      <c r="B1495" s="330"/>
      <c r="C1495" s="720">
        <f>IF(D1477="","-",+C1494+1)</f>
        <v>2027</v>
      </c>
      <c r="D1495" s="673">
        <f t="shared" si="142"/>
        <v>5139665.865000003</v>
      </c>
      <c r="E1495" s="726">
        <f t="shared" si="143"/>
        <v>155747.45045454547</v>
      </c>
      <c r="F1495" s="726">
        <f t="shared" si="136"/>
        <v>4983918.4145454578</v>
      </c>
      <c r="G1495" s="673">
        <f t="shared" si="137"/>
        <v>5061792.1397727299</v>
      </c>
      <c r="H1495" s="721">
        <f>+J1478*G1495+E1495</f>
        <v>932289.8314926615</v>
      </c>
      <c r="I1495" s="727">
        <f>+J1479*G1495+E1495</f>
        <v>932289.8314926615</v>
      </c>
      <c r="J1495" s="724">
        <f t="shared" si="138"/>
        <v>0</v>
      </c>
      <c r="K1495" s="724"/>
      <c r="L1495" s="728"/>
      <c r="M1495" s="724">
        <f t="shared" si="139"/>
        <v>0</v>
      </c>
      <c r="N1495" s="728"/>
      <c r="O1495" s="724">
        <f t="shared" si="140"/>
        <v>0</v>
      </c>
      <c r="P1495" s="724">
        <f t="shared" si="141"/>
        <v>0</v>
      </c>
      <c r="Q1495" s="674"/>
    </row>
    <row r="1496" spans="2:17">
      <c r="B1496" s="330"/>
      <c r="C1496" s="720">
        <f>IF(D1477="","-",+C1495+1)</f>
        <v>2028</v>
      </c>
      <c r="D1496" s="673">
        <f t="shared" si="142"/>
        <v>4983918.4145454578</v>
      </c>
      <c r="E1496" s="726">
        <f t="shared" si="143"/>
        <v>155747.45045454547</v>
      </c>
      <c r="F1496" s="726">
        <f t="shared" si="136"/>
        <v>4828170.9640909126</v>
      </c>
      <c r="G1496" s="673">
        <f t="shared" si="137"/>
        <v>4906044.6893181857</v>
      </c>
      <c r="H1496" s="721">
        <f>+J1478*G1496+E1496</f>
        <v>908396.21976841195</v>
      </c>
      <c r="I1496" s="727">
        <f>+J1479*G1496+E1496</f>
        <v>908396.21976841195</v>
      </c>
      <c r="J1496" s="724">
        <f t="shared" si="138"/>
        <v>0</v>
      </c>
      <c r="K1496" s="724"/>
      <c r="L1496" s="728"/>
      <c r="M1496" s="724">
        <f t="shared" si="139"/>
        <v>0</v>
      </c>
      <c r="N1496" s="728"/>
      <c r="O1496" s="724">
        <f t="shared" si="140"/>
        <v>0</v>
      </c>
      <c r="P1496" s="724">
        <f t="shared" si="141"/>
        <v>0</v>
      </c>
      <c r="Q1496" s="674"/>
    </row>
    <row r="1497" spans="2:17">
      <c r="B1497" s="330"/>
      <c r="C1497" s="720">
        <f>IF(D1477="","-",+C1496+1)</f>
        <v>2029</v>
      </c>
      <c r="D1497" s="673">
        <f t="shared" si="142"/>
        <v>4828170.9640909126</v>
      </c>
      <c r="E1497" s="726">
        <f t="shared" si="143"/>
        <v>155747.45045454547</v>
      </c>
      <c r="F1497" s="726">
        <f t="shared" si="136"/>
        <v>4672423.5136363674</v>
      </c>
      <c r="G1497" s="673">
        <f t="shared" si="137"/>
        <v>4750297.2388636395</v>
      </c>
      <c r="H1497" s="721">
        <f>+J1478*G1497+E1497</f>
        <v>884502.60804416216</v>
      </c>
      <c r="I1497" s="727">
        <f>+J1479*G1497+E1497</f>
        <v>884502.60804416216</v>
      </c>
      <c r="J1497" s="724">
        <f t="shared" si="138"/>
        <v>0</v>
      </c>
      <c r="K1497" s="724"/>
      <c r="L1497" s="728"/>
      <c r="M1497" s="724">
        <f t="shared" si="139"/>
        <v>0</v>
      </c>
      <c r="N1497" s="728"/>
      <c r="O1497" s="724">
        <f t="shared" si="140"/>
        <v>0</v>
      </c>
      <c r="P1497" s="724">
        <f t="shared" si="141"/>
        <v>0</v>
      </c>
      <c r="Q1497" s="674"/>
    </row>
    <row r="1498" spans="2:17">
      <c r="B1498" s="330"/>
      <c r="C1498" s="720">
        <f>IF(D1477="","-",+C1497+1)</f>
        <v>2030</v>
      </c>
      <c r="D1498" s="673">
        <f t="shared" si="142"/>
        <v>4672423.5136363674</v>
      </c>
      <c r="E1498" s="726">
        <f t="shared" si="143"/>
        <v>155747.45045454547</v>
      </c>
      <c r="F1498" s="726">
        <f t="shared" si="136"/>
        <v>4516676.0631818222</v>
      </c>
      <c r="G1498" s="673">
        <f t="shared" si="137"/>
        <v>4594549.7884090953</v>
      </c>
      <c r="H1498" s="721">
        <f>+J1478*G1498+E1498</f>
        <v>860608.99631991261</v>
      </c>
      <c r="I1498" s="727">
        <f>+J1479*G1498+E1498</f>
        <v>860608.99631991261</v>
      </c>
      <c r="J1498" s="724">
        <f t="shared" si="138"/>
        <v>0</v>
      </c>
      <c r="K1498" s="724"/>
      <c r="L1498" s="728"/>
      <c r="M1498" s="724">
        <f t="shared" si="139"/>
        <v>0</v>
      </c>
      <c r="N1498" s="728"/>
      <c r="O1498" s="724">
        <f t="shared" si="140"/>
        <v>0</v>
      </c>
      <c r="P1498" s="724">
        <f t="shared" si="141"/>
        <v>0</v>
      </c>
      <c r="Q1498" s="674"/>
    </row>
    <row r="1499" spans="2:17">
      <c r="B1499" s="330"/>
      <c r="C1499" s="720">
        <f>IF(D1477="","-",+C1498+1)</f>
        <v>2031</v>
      </c>
      <c r="D1499" s="673">
        <f t="shared" si="142"/>
        <v>4516676.0631818222</v>
      </c>
      <c r="E1499" s="726">
        <f t="shared" si="143"/>
        <v>155747.45045454547</v>
      </c>
      <c r="F1499" s="726">
        <f t="shared" si="136"/>
        <v>4360928.612727277</v>
      </c>
      <c r="G1499" s="673">
        <f t="shared" si="137"/>
        <v>4438802.3379545491</v>
      </c>
      <c r="H1499" s="721">
        <f>+J1478*G1499+E1499</f>
        <v>836715.38459566282</v>
      </c>
      <c r="I1499" s="727">
        <f>+J1479*G1499+E1499</f>
        <v>836715.38459566282</v>
      </c>
      <c r="J1499" s="724">
        <f t="shared" si="138"/>
        <v>0</v>
      </c>
      <c r="K1499" s="724"/>
      <c r="L1499" s="728"/>
      <c r="M1499" s="724">
        <f t="shared" si="139"/>
        <v>0</v>
      </c>
      <c r="N1499" s="728"/>
      <c r="O1499" s="724">
        <f t="shared" si="140"/>
        <v>0</v>
      </c>
      <c r="P1499" s="724">
        <f t="shared" si="141"/>
        <v>0</v>
      </c>
      <c r="Q1499" s="674"/>
    </row>
    <row r="1500" spans="2:17">
      <c r="B1500" s="330"/>
      <c r="C1500" s="720">
        <f>IF(D1477="","-",+C1499+1)</f>
        <v>2032</v>
      </c>
      <c r="D1500" s="673">
        <f t="shared" si="142"/>
        <v>4360928.612727277</v>
      </c>
      <c r="E1500" s="726">
        <f t="shared" si="143"/>
        <v>155747.45045454547</v>
      </c>
      <c r="F1500" s="726">
        <f t="shared" si="136"/>
        <v>4205181.1622727318</v>
      </c>
      <c r="G1500" s="673">
        <f t="shared" si="137"/>
        <v>4283054.8875000048</v>
      </c>
      <c r="H1500" s="721">
        <f>+J1478*G1500+E1500</f>
        <v>812821.77287141327</v>
      </c>
      <c r="I1500" s="727">
        <f>+J1479*G1500+E1500</f>
        <v>812821.77287141327</v>
      </c>
      <c r="J1500" s="724">
        <f t="shared" si="138"/>
        <v>0</v>
      </c>
      <c r="K1500" s="724"/>
      <c r="L1500" s="728"/>
      <c r="M1500" s="724">
        <f t="shared" si="139"/>
        <v>0</v>
      </c>
      <c r="N1500" s="728"/>
      <c r="O1500" s="724">
        <f t="shared" si="140"/>
        <v>0</v>
      </c>
      <c r="P1500" s="724">
        <f t="shared" si="141"/>
        <v>0</v>
      </c>
      <c r="Q1500" s="674"/>
    </row>
    <row r="1501" spans="2:17">
      <c r="B1501" s="330"/>
      <c r="C1501" s="720">
        <f>IF(D1477="","-",+C1500+1)</f>
        <v>2033</v>
      </c>
      <c r="D1501" s="673">
        <f t="shared" si="142"/>
        <v>4205181.1622727318</v>
      </c>
      <c r="E1501" s="726">
        <f t="shared" si="143"/>
        <v>155747.45045454547</v>
      </c>
      <c r="F1501" s="726">
        <f t="shared" si="136"/>
        <v>4049433.7118181861</v>
      </c>
      <c r="G1501" s="673">
        <f t="shared" si="137"/>
        <v>4127307.4370454587</v>
      </c>
      <c r="H1501" s="721">
        <f>+J1478*G1501+E1501</f>
        <v>788928.16114716348</v>
      </c>
      <c r="I1501" s="727">
        <f>+J1479*G1501+E1501</f>
        <v>788928.16114716348</v>
      </c>
      <c r="J1501" s="724">
        <f t="shared" si="138"/>
        <v>0</v>
      </c>
      <c r="K1501" s="724"/>
      <c r="L1501" s="728"/>
      <c r="M1501" s="724">
        <f t="shared" si="139"/>
        <v>0</v>
      </c>
      <c r="N1501" s="728"/>
      <c r="O1501" s="724">
        <f t="shared" si="140"/>
        <v>0</v>
      </c>
      <c r="P1501" s="724">
        <f t="shared" si="141"/>
        <v>0</v>
      </c>
      <c r="Q1501" s="674"/>
    </row>
    <row r="1502" spans="2:17">
      <c r="B1502" s="330"/>
      <c r="C1502" s="720">
        <f>IF(D1477="","-",+C1501+1)</f>
        <v>2034</v>
      </c>
      <c r="D1502" s="673">
        <f t="shared" si="142"/>
        <v>4049433.7118181861</v>
      </c>
      <c r="E1502" s="726">
        <f t="shared" si="143"/>
        <v>155747.45045454547</v>
      </c>
      <c r="F1502" s="726">
        <f t="shared" si="136"/>
        <v>3893686.2613636404</v>
      </c>
      <c r="G1502" s="673">
        <f t="shared" si="137"/>
        <v>3971559.9865909135</v>
      </c>
      <c r="H1502" s="721">
        <f>+J1478*G1502+E1502</f>
        <v>765034.5494229137</v>
      </c>
      <c r="I1502" s="727">
        <f>+J1479*G1502+E1502</f>
        <v>765034.5494229137</v>
      </c>
      <c r="J1502" s="724">
        <f t="shared" si="138"/>
        <v>0</v>
      </c>
      <c r="K1502" s="724"/>
      <c r="L1502" s="728"/>
      <c r="M1502" s="724">
        <f t="shared" si="139"/>
        <v>0</v>
      </c>
      <c r="N1502" s="728"/>
      <c r="O1502" s="724">
        <f t="shared" si="140"/>
        <v>0</v>
      </c>
      <c r="P1502" s="724">
        <f t="shared" si="141"/>
        <v>0</v>
      </c>
      <c r="Q1502" s="674"/>
    </row>
    <row r="1503" spans="2:17">
      <c r="B1503" s="330"/>
      <c r="C1503" s="720">
        <f>IF(D1477="","-",+C1502+1)</f>
        <v>2035</v>
      </c>
      <c r="D1503" s="673">
        <f t="shared" si="142"/>
        <v>3893686.2613636404</v>
      </c>
      <c r="E1503" s="726">
        <f t="shared" si="143"/>
        <v>155747.45045454547</v>
      </c>
      <c r="F1503" s="726">
        <f t="shared" si="136"/>
        <v>3737938.8109090948</v>
      </c>
      <c r="G1503" s="673">
        <f t="shared" si="137"/>
        <v>3815812.5361363674</v>
      </c>
      <c r="H1503" s="721">
        <f>+J1478*G1503+E1503</f>
        <v>741140.93769866391</v>
      </c>
      <c r="I1503" s="727">
        <f>+J1479*G1503+E1503</f>
        <v>741140.93769866391</v>
      </c>
      <c r="J1503" s="724">
        <f t="shared" si="138"/>
        <v>0</v>
      </c>
      <c r="K1503" s="724"/>
      <c r="L1503" s="728"/>
      <c r="M1503" s="724">
        <f t="shared" si="139"/>
        <v>0</v>
      </c>
      <c r="N1503" s="728"/>
      <c r="O1503" s="724">
        <f t="shared" si="140"/>
        <v>0</v>
      </c>
      <c r="P1503" s="724">
        <f t="shared" si="141"/>
        <v>0</v>
      </c>
      <c r="Q1503" s="674"/>
    </row>
    <row r="1504" spans="2:17">
      <c r="B1504" s="330"/>
      <c r="C1504" s="720">
        <f>IF(D1477="","-",+C1503+1)</f>
        <v>2036</v>
      </c>
      <c r="D1504" s="673">
        <f t="shared" si="142"/>
        <v>3737938.8109090948</v>
      </c>
      <c r="E1504" s="726">
        <f t="shared" si="143"/>
        <v>155747.45045454547</v>
      </c>
      <c r="F1504" s="726">
        <f t="shared" si="136"/>
        <v>3582191.3604545491</v>
      </c>
      <c r="G1504" s="673">
        <f t="shared" si="137"/>
        <v>3660065.0856818222</v>
      </c>
      <c r="H1504" s="721">
        <f>+J1478*G1504+E1504</f>
        <v>717247.32597441424</v>
      </c>
      <c r="I1504" s="727">
        <f>+J1479*G1504+E1504</f>
        <v>717247.32597441424</v>
      </c>
      <c r="J1504" s="724">
        <f t="shared" si="138"/>
        <v>0</v>
      </c>
      <c r="K1504" s="724"/>
      <c r="L1504" s="728"/>
      <c r="M1504" s="724">
        <f t="shared" si="139"/>
        <v>0</v>
      </c>
      <c r="N1504" s="728"/>
      <c r="O1504" s="724">
        <f t="shared" si="140"/>
        <v>0</v>
      </c>
      <c r="P1504" s="724">
        <f t="shared" si="141"/>
        <v>0</v>
      </c>
      <c r="Q1504" s="674"/>
    </row>
    <row r="1505" spans="2:17">
      <c r="B1505" s="330"/>
      <c r="C1505" s="720">
        <f>IF(D1477="","-",+C1504+1)</f>
        <v>2037</v>
      </c>
      <c r="D1505" s="673">
        <f t="shared" si="142"/>
        <v>3582191.3604545491</v>
      </c>
      <c r="E1505" s="726">
        <f t="shared" si="143"/>
        <v>155747.45045454547</v>
      </c>
      <c r="F1505" s="726">
        <f t="shared" si="136"/>
        <v>3426443.9100000034</v>
      </c>
      <c r="G1505" s="673">
        <f t="shared" si="137"/>
        <v>3504317.635227276</v>
      </c>
      <c r="H1505" s="721">
        <f>+J1478*G1505+E1505</f>
        <v>693353.71425016446</v>
      </c>
      <c r="I1505" s="727">
        <f>+J1479*G1505+E1505</f>
        <v>693353.71425016446</v>
      </c>
      <c r="J1505" s="724">
        <f t="shared" si="138"/>
        <v>0</v>
      </c>
      <c r="K1505" s="724"/>
      <c r="L1505" s="728"/>
      <c r="M1505" s="724">
        <f t="shared" si="139"/>
        <v>0</v>
      </c>
      <c r="N1505" s="728"/>
      <c r="O1505" s="724">
        <f t="shared" si="140"/>
        <v>0</v>
      </c>
      <c r="P1505" s="724">
        <f t="shared" si="141"/>
        <v>0</v>
      </c>
      <c r="Q1505" s="674"/>
    </row>
    <row r="1506" spans="2:17">
      <c r="B1506" s="330"/>
      <c r="C1506" s="720">
        <f>IF(D1477="","-",+C1505+1)</f>
        <v>2038</v>
      </c>
      <c r="D1506" s="673">
        <f t="shared" si="142"/>
        <v>3426443.9100000034</v>
      </c>
      <c r="E1506" s="726">
        <f t="shared" si="143"/>
        <v>155747.45045454547</v>
      </c>
      <c r="F1506" s="726">
        <f t="shared" si="136"/>
        <v>3270696.4595454577</v>
      </c>
      <c r="G1506" s="673">
        <f t="shared" si="137"/>
        <v>3348570.1847727308</v>
      </c>
      <c r="H1506" s="721">
        <f>+J1478*G1506+E1506</f>
        <v>669460.10252591479</v>
      </c>
      <c r="I1506" s="727">
        <f>+J1479*G1506+E1506</f>
        <v>669460.10252591479</v>
      </c>
      <c r="J1506" s="724">
        <f t="shared" si="138"/>
        <v>0</v>
      </c>
      <c r="K1506" s="724"/>
      <c r="L1506" s="728"/>
      <c r="M1506" s="724">
        <f t="shared" si="139"/>
        <v>0</v>
      </c>
      <c r="N1506" s="728"/>
      <c r="O1506" s="724">
        <f t="shared" si="140"/>
        <v>0</v>
      </c>
      <c r="P1506" s="724">
        <f t="shared" si="141"/>
        <v>0</v>
      </c>
      <c r="Q1506" s="674"/>
    </row>
    <row r="1507" spans="2:17">
      <c r="B1507" s="330"/>
      <c r="C1507" s="720">
        <f>IF(D1477="","-",+C1506+1)</f>
        <v>2039</v>
      </c>
      <c r="D1507" s="673">
        <f t="shared" si="142"/>
        <v>3270696.4595454577</v>
      </c>
      <c r="E1507" s="726">
        <f t="shared" si="143"/>
        <v>155747.45045454547</v>
      </c>
      <c r="F1507" s="726">
        <f t="shared" si="136"/>
        <v>3114949.0090909121</v>
      </c>
      <c r="G1507" s="673">
        <f t="shared" si="137"/>
        <v>3192822.7343181847</v>
      </c>
      <c r="H1507" s="721">
        <f>+J1478*G1507+E1507</f>
        <v>645566.490801665</v>
      </c>
      <c r="I1507" s="727">
        <f>+J1479*G1507+E1507</f>
        <v>645566.490801665</v>
      </c>
      <c r="J1507" s="724">
        <f t="shared" si="138"/>
        <v>0</v>
      </c>
      <c r="K1507" s="724"/>
      <c r="L1507" s="728"/>
      <c r="M1507" s="724">
        <f t="shared" si="139"/>
        <v>0</v>
      </c>
      <c r="N1507" s="728"/>
      <c r="O1507" s="724">
        <f t="shared" si="140"/>
        <v>0</v>
      </c>
      <c r="P1507" s="724">
        <f t="shared" si="141"/>
        <v>0</v>
      </c>
      <c r="Q1507" s="674"/>
    </row>
    <row r="1508" spans="2:17">
      <c r="B1508" s="330"/>
      <c r="C1508" s="720">
        <f>IF(D1477="","-",+C1507+1)</f>
        <v>2040</v>
      </c>
      <c r="D1508" s="673">
        <f t="shared" si="142"/>
        <v>3114949.0090909121</v>
      </c>
      <c r="E1508" s="726">
        <f t="shared" si="143"/>
        <v>155747.45045454547</v>
      </c>
      <c r="F1508" s="726">
        <f t="shared" si="136"/>
        <v>2959201.5586363664</v>
      </c>
      <c r="G1508" s="673">
        <f t="shared" si="137"/>
        <v>3037075.2838636395</v>
      </c>
      <c r="H1508" s="721">
        <f>+J1478*G1508+E1508</f>
        <v>621672.87907741533</v>
      </c>
      <c r="I1508" s="727">
        <f>+J1479*G1508+E1508</f>
        <v>621672.87907741533</v>
      </c>
      <c r="J1508" s="724">
        <f t="shared" si="138"/>
        <v>0</v>
      </c>
      <c r="K1508" s="724"/>
      <c r="L1508" s="728"/>
      <c r="M1508" s="724">
        <f t="shared" si="139"/>
        <v>0</v>
      </c>
      <c r="N1508" s="728"/>
      <c r="O1508" s="724">
        <f t="shared" si="140"/>
        <v>0</v>
      </c>
      <c r="P1508" s="724">
        <f t="shared" si="141"/>
        <v>0</v>
      </c>
      <c r="Q1508" s="674"/>
    </row>
    <row r="1509" spans="2:17">
      <c r="B1509" s="330"/>
      <c r="C1509" s="720">
        <f>IF(D1477="","-",+C1508+1)</f>
        <v>2041</v>
      </c>
      <c r="D1509" s="673">
        <f t="shared" si="142"/>
        <v>2959201.5586363664</v>
      </c>
      <c r="E1509" s="726">
        <f t="shared" si="143"/>
        <v>155747.45045454547</v>
      </c>
      <c r="F1509" s="726">
        <f t="shared" si="136"/>
        <v>2803454.1081818207</v>
      </c>
      <c r="G1509" s="673">
        <f t="shared" si="137"/>
        <v>2881327.8334090933</v>
      </c>
      <c r="H1509" s="721">
        <f>+J1478*G1509+E1509</f>
        <v>597779.26735316555</v>
      </c>
      <c r="I1509" s="727">
        <f>+J1479*G1509+E1509</f>
        <v>597779.26735316555</v>
      </c>
      <c r="J1509" s="724">
        <f t="shared" si="138"/>
        <v>0</v>
      </c>
      <c r="K1509" s="724"/>
      <c r="L1509" s="728"/>
      <c r="M1509" s="724">
        <f t="shared" si="139"/>
        <v>0</v>
      </c>
      <c r="N1509" s="728"/>
      <c r="O1509" s="724">
        <f t="shared" si="140"/>
        <v>0</v>
      </c>
      <c r="P1509" s="724">
        <f t="shared" si="141"/>
        <v>0</v>
      </c>
      <c r="Q1509" s="674"/>
    </row>
    <row r="1510" spans="2:17">
      <c r="B1510" s="330"/>
      <c r="C1510" s="720">
        <f>IF(D1477="","-",+C1509+1)</f>
        <v>2042</v>
      </c>
      <c r="D1510" s="673">
        <f t="shared" si="142"/>
        <v>2803454.1081818207</v>
      </c>
      <c r="E1510" s="726">
        <f t="shared" si="143"/>
        <v>155747.45045454547</v>
      </c>
      <c r="F1510" s="726">
        <f t="shared" si="136"/>
        <v>2647706.657727275</v>
      </c>
      <c r="G1510" s="673">
        <f t="shared" si="137"/>
        <v>2725580.3829545481</v>
      </c>
      <c r="H1510" s="721">
        <f>+J1478*G1510+E1510</f>
        <v>573885.65562891588</v>
      </c>
      <c r="I1510" s="727">
        <f>+J1479*G1510+E1510</f>
        <v>573885.65562891588</v>
      </c>
      <c r="J1510" s="724">
        <f t="shared" si="138"/>
        <v>0</v>
      </c>
      <c r="K1510" s="724"/>
      <c r="L1510" s="728"/>
      <c r="M1510" s="724">
        <f t="shared" si="139"/>
        <v>0</v>
      </c>
      <c r="N1510" s="728"/>
      <c r="O1510" s="724">
        <f t="shared" si="140"/>
        <v>0</v>
      </c>
      <c r="P1510" s="724">
        <f t="shared" si="141"/>
        <v>0</v>
      </c>
      <c r="Q1510" s="674"/>
    </row>
    <row r="1511" spans="2:17">
      <c r="B1511" s="330"/>
      <c r="C1511" s="720">
        <f>IF(D1477="","-",+C1510+1)</f>
        <v>2043</v>
      </c>
      <c r="D1511" s="673">
        <f t="shared" si="142"/>
        <v>2647706.657727275</v>
      </c>
      <c r="E1511" s="726">
        <f t="shared" si="143"/>
        <v>155747.45045454547</v>
      </c>
      <c r="F1511" s="726">
        <f t="shared" si="136"/>
        <v>2491959.2072727294</v>
      </c>
      <c r="G1511" s="673">
        <f t="shared" si="137"/>
        <v>2569832.932500002</v>
      </c>
      <c r="H1511" s="721">
        <f>+J1478*G1511+E1511</f>
        <v>549992.04390466597</v>
      </c>
      <c r="I1511" s="727">
        <f>+J1479*G1511+E1511</f>
        <v>549992.04390466597</v>
      </c>
      <c r="J1511" s="724">
        <f t="shared" si="138"/>
        <v>0</v>
      </c>
      <c r="K1511" s="724"/>
      <c r="L1511" s="728"/>
      <c r="M1511" s="724">
        <f t="shared" si="139"/>
        <v>0</v>
      </c>
      <c r="N1511" s="728"/>
      <c r="O1511" s="724">
        <f t="shared" si="140"/>
        <v>0</v>
      </c>
      <c r="P1511" s="724">
        <f t="shared" si="141"/>
        <v>0</v>
      </c>
      <c r="Q1511" s="674"/>
    </row>
    <row r="1512" spans="2:17">
      <c r="B1512" s="330"/>
      <c r="C1512" s="720">
        <f>IF(D1477="","-",+C1511+1)</f>
        <v>2044</v>
      </c>
      <c r="D1512" s="673">
        <f t="shared" si="142"/>
        <v>2491959.2072727294</v>
      </c>
      <c r="E1512" s="726">
        <f t="shared" si="143"/>
        <v>155747.45045454547</v>
      </c>
      <c r="F1512" s="726">
        <f t="shared" si="136"/>
        <v>2336211.7568181837</v>
      </c>
      <c r="G1512" s="673">
        <f t="shared" si="137"/>
        <v>2414085.4820454568</v>
      </c>
      <c r="H1512" s="721">
        <f>+J1478*G1512+E1512</f>
        <v>526098.4321804163</v>
      </c>
      <c r="I1512" s="727">
        <f>+J1479*G1512+E1512</f>
        <v>526098.4321804163</v>
      </c>
      <c r="J1512" s="724">
        <f t="shared" si="138"/>
        <v>0</v>
      </c>
      <c r="K1512" s="724"/>
      <c r="L1512" s="728"/>
      <c r="M1512" s="724">
        <f t="shared" si="139"/>
        <v>0</v>
      </c>
      <c r="N1512" s="728"/>
      <c r="O1512" s="724">
        <f t="shared" si="140"/>
        <v>0</v>
      </c>
      <c r="P1512" s="724">
        <f t="shared" si="141"/>
        <v>0</v>
      </c>
      <c r="Q1512" s="674"/>
    </row>
    <row r="1513" spans="2:17">
      <c r="B1513" s="330"/>
      <c r="C1513" s="720">
        <f>IF(D1477="","-",+C1512+1)</f>
        <v>2045</v>
      </c>
      <c r="D1513" s="673">
        <f t="shared" si="142"/>
        <v>2336211.7568181837</v>
      </c>
      <c r="E1513" s="726">
        <f t="shared" si="143"/>
        <v>155747.45045454547</v>
      </c>
      <c r="F1513" s="726">
        <f t="shared" si="136"/>
        <v>2180464.306363638</v>
      </c>
      <c r="G1513" s="673">
        <f t="shared" si="137"/>
        <v>2258338.0315909106</v>
      </c>
      <c r="H1513" s="721">
        <f>+J1478*G1513+E1513</f>
        <v>502204.82045616652</v>
      </c>
      <c r="I1513" s="727">
        <f>+J1479*G1513+E1513</f>
        <v>502204.82045616652</v>
      </c>
      <c r="J1513" s="724">
        <f t="shared" si="138"/>
        <v>0</v>
      </c>
      <c r="K1513" s="724"/>
      <c r="L1513" s="728"/>
      <c r="M1513" s="724">
        <f t="shared" si="139"/>
        <v>0</v>
      </c>
      <c r="N1513" s="728"/>
      <c r="O1513" s="724">
        <f t="shared" si="140"/>
        <v>0</v>
      </c>
      <c r="P1513" s="724">
        <f t="shared" si="141"/>
        <v>0</v>
      </c>
      <c r="Q1513" s="674"/>
    </row>
    <row r="1514" spans="2:17">
      <c r="B1514" s="330"/>
      <c r="C1514" s="720">
        <f>IF(D1477="","-",+C1513+1)</f>
        <v>2046</v>
      </c>
      <c r="D1514" s="673">
        <f t="shared" si="142"/>
        <v>2180464.306363638</v>
      </c>
      <c r="E1514" s="726">
        <f t="shared" si="143"/>
        <v>155747.45045454547</v>
      </c>
      <c r="F1514" s="726">
        <f t="shared" si="136"/>
        <v>2024716.8559090926</v>
      </c>
      <c r="G1514" s="673">
        <f t="shared" si="137"/>
        <v>2102590.5811363654</v>
      </c>
      <c r="H1514" s="721">
        <f>+J1478*G1514+E1514</f>
        <v>478311.20873191685</v>
      </c>
      <c r="I1514" s="727">
        <f>+J1479*G1514+E1514</f>
        <v>478311.20873191685</v>
      </c>
      <c r="J1514" s="724">
        <f t="shared" si="138"/>
        <v>0</v>
      </c>
      <c r="K1514" s="724"/>
      <c r="L1514" s="728"/>
      <c r="M1514" s="724">
        <f t="shared" si="139"/>
        <v>0</v>
      </c>
      <c r="N1514" s="728"/>
      <c r="O1514" s="724">
        <f t="shared" si="140"/>
        <v>0</v>
      </c>
      <c r="P1514" s="724">
        <f t="shared" si="141"/>
        <v>0</v>
      </c>
      <c r="Q1514" s="674"/>
    </row>
    <row r="1515" spans="2:17">
      <c r="B1515" s="330"/>
      <c r="C1515" s="720">
        <f>IF(D1477="","-",+C1514+1)</f>
        <v>2047</v>
      </c>
      <c r="D1515" s="673">
        <f t="shared" si="142"/>
        <v>2024716.8559090926</v>
      </c>
      <c r="E1515" s="726">
        <f t="shared" si="143"/>
        <v>155747.45045454547</v>
      </c>
      <c r="F1515" s="726">
        <f t="shared" si="136"/>
        <v>1868969.4054545471</v>
      </c>
      <c r="G1515" s="673">
        <f t="shared" si="137"/>
        <v>1946843.1306818197</v>
      </c>
      <c r="H1515" s="721">
        <f>+J1478*G1515+E1515</f>
        <v>454417.59700766706</v>
      </c>
      <c r="I1515" s="727">
        <f>+J1479*G1515+E1515</f>
        <v>454417.59700766706</v>
      </c>
      <c r="J1515" s="724">
        <f t="shared" si="138"/>
        <v>0</v>
      </c>
      <c r="K1515" s="724"/>
      <c r="L1515" s="728"/>
      <c r="M1515" s="724">
        <f t="shared" si="139"/>
        <v>0</v>
      </c>
      <c r="N1515" s="728"/>
      <c r="O1515" s="724">
        <f t="shared" si="140"/>
        <v>0</v>
      </c>
      <c r="P1515" s="724">
        <f t="shared" si="141"/>
        <v>0</v>
      </c>
      <c r="Q1515" s="674"/>
    </row>
    <row r="1516" spans="2:17">
      <c r="B1516" s="330"/>
      <c r="C1516" s="720">
        <f>IF(D1477="","-",+C1515+1)</f>
        <v>2048</v>
      </c>
      <c r="D1516" s="673">
        <f t="shared" si="142"/>
        <v>1868969.4054545471</v>
      </c>
      <c r="E1516" s="726">
        <f t="shared" si="143"/>
        <v>155747.45045454547</v>
      </c>
      <c r="F1516" s="726">
        <f t="shared" si="136"/>
        <v>1713221.9550000017</v>
      </c>
      <c r="G1516" s="673">
        <f t="shared" si="137"/>
        <v>1791095.6802272745</v>
      </c>
      <c r="H1516" s="721">
        <f>+J1478*G1516+E1516</f>
        <v>430523.98528341739</v>
      </c>
      <c r="I1516" s="727">
        <f>+J1479*G1516+E1516</f>
        <v>430523.98528341739</v>
      </c>
      <c r="J1516" s="724">
        <f t="shared" si="138"/>
        <v>0</v>
      </c>
      <c r="K1516" s="724"/>
      <c r="L1516" s="728"/>
      <c r="M1516" s="724">
        <f t="shared" si="139"/>
        <v>0</v>
      </c>
      <c r="N1516" s="728"/>
      <c r="O1516" s="724">
        <f t="shared" si="140"/>
        <v>0</v>
      </c>
      <c r="P1516" s="724">
        <f t="shared" si="141"/>
        <v>0</v>
      </c>
      <c r="Q1516" s="674"/>
    </row>
    <row r="1517" spans="2:17">
      <c r="B1517" s="330"/>
      <c r="C1517" s="720">
        <f>IF(D1477="","-",+C1516+1)</f>
        <v>2049</v>
      </c>
      <c r="D1517" s="673">
        <f t="shared" si="142"/>
        <v>1713221.9550000017</v>
      </c>
      <c r="E1517" s="726">
        <f t="shared" si="143"/>
        <v>155747.45045454547</v>
      </c>
      <c r="F1517" s="726">
        <f t="shared" si="136"/>
        <v>1557474.5045454563</v>
      </c>
      <c r="G1517" s="673">
        <f t="shared" si="137"/>
        <v>1635348.2297727289</v>
      </c>
      <c r="H1517" s="721">
        <f>+J1478*G1517+E1517</f>
        <v>406630.37355916773</v>
      </c>
      <c r="I1517" s="727">
        <f>+J1479*G1517+E1517</f>
        <v>406630.37355916773</v>
      </c>
      <c r="J1517" s="724">
        <f t="shared" si="138"/>
        <v>0</v>
      </c>
      <c r="K1517" s="724"/>
      <c r="L1517" s="728"/>
      <c r="M1517" s="724">
        <f t="shared" si="139"/>
        <v>0</v>
      </c>
      <c r="N1517" s="728"/>
      <c r="O1517" s="724">
        <f t="shared" si="140"/>
        <v>0</v>
      </c>
      <c r="P1517" s="724">
        <f t="shared" si="141"/>
        <v>0</v>
      </c>
      <c r="Q1517" s="674"/>
    </row>
    <row r="1518" spans="2:17">
      <c r="B1518" s="330"/>
      <c r="C1518" s="720">
        <f>IF(D1477="","-",+C1517+1)</f>
        <v>2050</v>
      </c>
      <c r="D1518" s="673">
        <f t="shared" si="142"/>
        <v>1557474.5045454563</v>
      </c>
      <c r="E1518" s="726">
        <f t="shared" si="143"/>
        <v>155747.45045454547</v>
      </c>
      <c r="F1518" s="726">
        <f t="shared" si="136"/>
        <v>1401727.0540909108</v>
      </c>
      <c r="G1518" s="673">
        <f t="shared" si="137"/>
        <v>1479600.7793181837</v>
      </c>
      <c r="H1518" s="721">
        <f>+J1478*G1518+E1518</f>
        <v>382736.761834918</v>
      </c>
      <c r="I1518" s="727">
        <f>+J1479*G1518+E1518</f>
        <v>382736.761834918</v>
      </c>
      <c r="J1518" s="724">
        <f t="shared" si="138"/>
        <v>0</v>
      </c>
      <c r="K1518" s="724"/>
      <c r="L1518" s="728"/>
      <c r="M1518" s="724">
        <f t="shared" si="139"/>
        <v>0</v>
      </c>
      <c r="N1518" s="728"/>
      <c r="O1518" s="724">
        <f t="shared" si="140"/>
        <v>0</v>
      </c>
      <c r="P1518" s="724">
        <f t="shared" si="141"/>
        <v>0</v>
      </c>
      <c r="Q1518" s="674"/>
    </row>
    <row r="1519" spans="2:17">
      <c r="B1519" s="330"/>
      <c r="C1519" s="720">
        <f>IF(D1477="","-",+C1518+1)</f>
        <v>2051</v>
      </c>
      <c r="D1519" s="673">
        <f t="shared" si="142"/>
        <v>1401727.0540909108</v>
      </c>
      <c r="E1519" s="726">
        <f t="shared" si="143"/>
        <v>155747.45045454547</v>
      </c>
      <c r="F1519" s="726">
        <f t="shared" si="136"/>
        <v>1245979.6036363654</v>
      </c>
      <c r="G1519" s="673">
        <f t="shared" si="137"/>
        <v>1323853.328863638</v>
      </c>
      <c r="H1519" s="721">
        <f>+J1478*G1519+E1519</f>
        <v>358843.15011066827</v>
      </c>
      <c r="I1519" s="727">
        <f>+J1479*G1519+E1519</f>
        <v>358843.15011066827</v>
      </c>
      <c r="J1519" s="724">
        <f t="shared" si="138"/>
        <v>0</v>
      </c>
      <c r="K1519" s="724"/>
      <c r="L1519" s="728"/>
      <c r="M1519" s="724">
        <f t="shared" si="139"/>
        <v>0</v>
      </c>
      <c r="N1519" s="728"/>
      <c r="O1519" s="724">
        <f t="shared" si="140"/>
        <v>0</v>
      </c>
      <c r="P1519" s="724">
        <f t="shared" si="141"/>
        <v>0</v>
      </c>
      <c r="Q1519" s="674"/>
    </row>
    <row r="1520" spans="2:17">
      <c r="B1520" s="330"/>
      <c r="C1520" s="720">
        <f>IF(D1477="","-",+C1519+1)</f>
        <v>2052</v>
      </c>
      <c r="D1520" s="673">
        <f t="shared" si="142"/>
        <v>1245979.6036363654</v>
      </c>
      <c r="E1520" s="726">
        <f t="shared" si="143"/>
        <v>155747.45045454547</v>
      </c>
      <c r="F1520" s="726">
        <f t="shared" si="136"/>
        <v>1090232.1531818199</v>
      </c>
      <c r="G1520" s="673">
        <f t="shared" si="137"/>
        <v>1168105.8784090928</v>
      </c>
      <c r="H1520" s="721">
        <f>+J1478*G1520+E1520</f>
        <v>334949.5383864186</v>
      </c>
      <c r="I1520" s="727">
        <f>+J1479*G1520+E1520</f>
        <v>334949.5383864186</v>
      </c>
      <c r="J1520" s="724">
        <f t="shared" si="138"/>
        <v>0</v>
      </c>
      <c r="K1520" s="724"/>
      <c r="L1520" s="728"/>
      <c r="M1520" s="724">
        <f t="shared" si="139"/>
        <v>0</v>
      </c>
      <c r="N1520" s="728"/>
      <c r="O1520" s="724">
        <f t="shared" si="140"/>
        <v>0</v>
      </c>
      <c r="P1520" s="724">
        <f t="shared" si="141"/>
        <v>0</v>
      </c>
      <c r="Q1520" s="674"/>
    </row>
    <row r="1521" spans="2:17">
      <c r="B1521" s="330"/>
      <c r="C1521" s="720">
        <f>IF(D1477="","-",+C1520+1)</f>
        <v>2053</v>
      </c>
      <c r="D1521" s="673">
        <f t="shared" si="142"/>
        <v>1090232.1531818199</v>
      </c>
      <c r="E1521" s="726">
        <f t="shared" si="143"/>
        <v>155747.45045454547</v>
      </c>
      <c r="F1521" s="726">
        <f t="shared" si="136"/>
        <v>934484.7027272745</v>
      </c>
      <c r="G1521" s="673">
        <f t="shared" si="137"/>
        <v>1012358.4279545472</v>
      </c>
      <c r="H1521" s="721">
        <f>+J1478*G1521+E1521</f>
        <v>311055.92666216887</v>
      </c>
      <c r="I1521" s="727">
        <f>+J1479*G1521+E1521</f>
        <v>311055.92666216887</v>
      </c>
      <c r="J1521" s="724">
        <f t="shared" si="138"/>
        <v>0</v>
      </c>
      <c r="K1521" s="724"/>
      <c r="L1521" s="728"/>
      <c r="M1521" s="724">
        <f t="shared" si="139"/>
        <v>0</v>
      </c>
      <c r="N1521" s="728"/>
      <c r="O1521" s="724">
        <f t="shared" si="140"/>
        <v>0</v>
      </c>
      <c r="P1521" s="724">
        <f t="shared" si="141"/>
        <v>0</v>
      </c>
      <c r="Q1521" s="674"/>
    </row>
    <row r="1522" spans="2:17">
      <c r="B1522" s="330"/>
      <c r="C1522" s="720">
        <f>IF(D1477="","-",+C1521+1)</f>
        <v>2054</v>
      </c>
      <c r="D1522" s="673">
        <f t="shared" si="142"/>
        <v>934484.7027272745</v>
      </c>
      <c r="E1522" s="726">
        <f t="shared" si="143"/>
        <v>155747.45045454547</v>
      </c>
      <c r="F1522" s="726">
        <f t="shared" si="136"/>
        <v>778737.25227272906</v>
      </c>
      <c r="G1522" s="673">
        <f t="shared" si="137"/>
        <v>856610.97750000178</v>
      </c>
      <c r="H1522" s="721">
        <f>+J1478*G1522+E1522</f>
        <v>287162.31493791915</v>
      </c>
      <c r="I1522" s="727">
        <f>+J1479*G1522+E1522</f>
        <v>287162.31493791915</v>
      </c>
      <c r="J1522" s="724">
        <f t="shared" si="138"/>
        <v>0</v>
      </c>
      <c r="K1522" s="724"/>
      <c r="L1522" s="728"/>
      <c r="M1522" s="724">
        <f t="shared" si="139"/>
        <v>0</v>
      </c>
      <c r="N1522" s="728"/>
      <c r="O1522" s="724">
        <f t="shared" si="140"/>
        <v>0</v>
      </c>
      <c r="P1522" s="724">
        <f t="shared" si="141"/>
        <v>0</v>
      </c>
      <c r="Q1522" s="674"/>
    </row>
    <row r="1523" spans="2:17">
      <c r="B1523" s="330"/>
      <c r="C1523" s="720">
        <f>IF(D1477="","-",+C1522+1)</f>
        <v>2055</v>
      </c>
      <c r="D1523" s="673">
        <f t="shared" si="142"/>
        <v>778737.25227272906</v>
      </c>
      <c r="E1523" s="726">
        <f t="shared" si="143"/>
        <v>155747.45045454547</v>
      </c>
      <c r="F1523" s="726">
        <f t="shared" si="136"/>
        <v>622989.80181818362</v>
      </c>
      <c r="G1523" s="673">
        <f t="shared" si="137"/>
        <v>700863.52704545634</v>
      </c>
      <c r="H1523" s="721">
        <f>+J1478*G1523+E1523</f>
        <v>263268.70321366948</v>
      </c>
      <c r="I1523" s="727">
        <f>+J1479*G1523+E1523</f>
        <v>263268.70321366948</v>
      </c>
      <c r="J1523" s="724">
        <f t="shared" si="138"/>
        <v>0</v>
      </c>
      <c r="K1523" s="724"/>
      <c r="L1523" s="728"/>
      <c r="M1523" s="724">
        <f t="shared" si="139"/>
        <v>0</v>
      </c>
      <c r="N1523" s="728"/>
      <c r="O1523" s="724">
        <f t="shared" si="140"/>
        <v>0</v>
      </c>
      <c r="P1523" s="724">
        <f t="shared" si="141"/>
        <v>0</v>
      </c>
      <c r="Q1523" s="674"/>
    </row>
    <row r="1524" spans="2:17">
      <c r="B1524" s="330"/>
      <c r="C1524" s="720">
        <f>IF(D1477="","-",+C1523+1)</f>
        <v>2056</v>
      </c>
      <c r="D1524" s="673">
        <f t="shared" si="142"/>
        <v>622989.80181818362</v>
      </c>
      <c r="E1524" s="726">
        <f t="shared" si="143"/>
        <v>155747.45045454547</v>
      </c>
      <c r="F1524" s="726">
        <f t="shared" si="136"/>
        <v>467242.35136363818</v>
      </c>
      <c r="G1524" s="673">
        <f t="shared" si="137"/>
        <v>545116.0765909109</v>
      </c>
      <c r="H1524" s="721">
        <f>+J1478*G1524+E1524</f>
        <v>239375.09148941975</v>
      </c>
      <c r="I1524" s="727">
        <f>+J1479*G1524+E1524</f>
        <v>239375.09148941975</v>
      </c>
      <c r="J1524" s="724">
        <f t="shared" si="138"/>
        <v>0</v>
      </c>
      <c r="K1524" s="724"/>
      <c r="L1524" s="728"/>
      <c r="M1524" s="724">
        <f t="shared" si="139"/>
        <v>0</v>
      </c>
      <c r="N1524" s="728"/>
      <c r="O1524" s="724">
        <f t="shared" si="140"/>
        <v>0</v>
      </c>
      <c r="P1524" s="724">
        <f t="shared" si="141"/>
        <v>0</v>
      </c>
      <c r="Q1524" s="674"/>
    </row>
    <row r="1525" spans="2:17">
      <c r="B1525" s="330"/>
      <c r="C1525" s="720">
        <f>IF(D1477="","-",+C1524+1)</f>
        <v>2057</v>
      </c>
      <c r="D1525" s="673">
        <f t="shared" si="142"/>
        <v>467242.35136363818</v>
      </c>
      <c r="E1525" s="726">
        <f t="shared" si="143"/>
        <v>155747.45045454547</v>
      </c>
      <c r="F1525" s="726">
        <f t="shared" si="136"/>
        <v>311494.90090909274</v>
      </c>
      <c r="G1525" s="673">
        <f t="shared" si="137"/>
        <v>389368.62613636546</v>
      </c>
      <c r="H1525" s="721">
        <f>+J1478*G1525+E1525</f>
        <v>215481.47976517002</v>
      </c>
      <c r="I1525" s="727">
        <f>+J1479*G1525+E1525</f>
        <v>215481.47976517002</v>
      </c>
      <c r="J1525" s="724">
        <f t="shared" si="138"/>
        <v>0</v>
      </c>
      <c r="K1525" s="724"/>
      <c r="L1525" s="728"/>
      <c r="M1525" s="724">
        <f t="shared" si="139"/>
        <v>0</v>
      </c>
      <c r="N1525" s="728"/>
      <c r="O1525" s="724">
        <f t="shared" si="140"/>
        <v>0</v>
      </c>
      <c r="P1525" s="724">
        <f t="shared" si="141"/>
        <v>0</v>
      </c>
      <c r="Q1525" s="674"/>
    </row>
    <row r="1526" spans="2:17">
      <c r="B1526" s="330"/>
      <c r="C1526" s="720">
        <f>IF(D1477="","-",+C1525+1)</f>
        <v>2058</v>
      </c>
      <c r="D1526" s="673">
        <f t="shared" si="142"/>
        <v>311494.90090909274</v>
      </c>
      <c r="E1526" s="726">
        <f t="shared" si="143"/>
        <v>155747.45045454547</v>
      </c>
      <c r="F1526" s="726">
        <f t="shared" si="136"/>
        <v>155747.45045454727</v>
      </c>
      <c r="G1526" s="673">
        <f t="shared" si="137"/>
        <v>233621.17568182002</v>
      </c>
      <c r="H1526" s="721">
        <f>+J1478*G1526+E1526</f>
        <v>191587.86804092032</v>
      </c>
      <c r="I1526" s="727">
        <f>+J1479*G1526+E1526</f>
        <v>191587.86804092032</v>
      </c>
      <c r="J1526" s="724">
        <f t="shared" si="138"/>
        <v>0</v>
      </c>
      <c r="K1526" s="724"/>
      <c r="L1526" s="728"/>
      <c r="M1526" s="724">
        <f t="shared" si="139"/>
        <v>0</v>
      </c>
      <c r="N1526" s="728"/>
      <c r="O1526" s="724">
        <f t="shared" si="140"/>
        <v>0</v>
      </c>
      <c r="P1526" s="724">
        <f t="shared" si="141"/>
        <v>0</v>
      </c>
      <c r="Q1526" s="674"/>
    </row>
    <row r="1527" spans="2:17">
      <c r="B1527" s="330"/>
      <c r="C1527" s="720">
        <f>IF(D1477="","-",+C1526+1)</f>
        <v>2059</v>
      </c>
      <c r="D1527" s="673">
        <f t="shared" si="142"/>
        <v>155747.45045454727</v>
      </c>
      <c r="E1527" s="726">
        <f t="shared" si="143"/>
        <v>155747.45045454547</v>
      </c>
      <c r="F1527" s="726">
        <f t="shared" si="136"/>
        <v>1.8044374883174896E-9</v>
      </c>
      <c r="G1527" s="673">
        <f t="shared" si="137"/>
        <v>77873.725227274539</v>
      </c>
      <c r="H1527" s="721">
        <f>+J1478*G1527+E1527</f>
        <v>167694.25631667059</v>
      </c>
      <c r="I1527" s="727">
        <f>+J1479*G1527+E1527</f>
        <v>167694.25631667059</v>
      </c>
      <c r="J1527" s="724">
        <f t="shared" si="138"/>
        <v>0</v>
      </c>
      <c r="K1527" s="724"/>
      <c r="L1527" s="728"/>
      <c r="M1527" s="724">
        <f t="shared" si="139"/>
        <v>0</v>
      </c>
      <c r="N1527" s="728"/>
      <c r="O1527" s="724">
        <f t="shared" si="140"/>
        <v>0</v>
      </c>
      <c r="P1527" s="724">
        <f t="shared" si="141"/>
        <v>0</v>
      </c>
      <c r="Q1527" s="674"/>
    </row>
    <row r="1528" spans="2:17">
      <c r="B1528" s="330"/>
      <c r="C1528" s="720">
        <f>IF(D1477="","-",+C1527+1)</f>
        <v>2060</v>
      </c>
      <c r="D1528" s="673">
        <f t="shared" si="142"/>
        <v>1.8044374883174896E-9</v>
      </c>
      <c r="E1528" s="726">
        <f t="shared" si="143"/>
        <v>1.8044374883174896E-9</v>
      </c>
      <c r="F1528" s="726">
        <f t="shared" si="136"/>
        <v>0</v>
      </c>
      <c r="G1528" s="673">
        <f t="shared" si="137"/>
        <v>9.0221874415874481E-10</v>
      </c>
      <c r="H1528" s="721">
        <f>+J1478*G1528+E1528</f>
        <v>1.942849156054938E-9</v>
      </c>
      <c r="I1528" s="727">
        <f>+J1479*G1528+E1528</f>
        <v>1.942849156054938E-9</v>
      </c>
      <c r="J1528" s="724">
        <f t="shared" si="138"/>
        <v>0</v>
      </c>
      <c r="K1528" s="724"/>
      <c r="L1528" s="728"/>
      <c r="M1528" s="724">
        <f t="shared" si="139"/>
        <v>0</v>
      </c>
      <c r="N1528" s="728"/>
      <c r="O1528" s="724">
        <f t="shared" si="140"/>
        <v>0</v>
      </c>
      <c r="P1528" s="724">
        <f t="shared" si="141"/>
        <v>0</v>
      </c>
      <c r="Q1528" s="674"/>
    </row>
    <row r="1529" spans="2:17">
      <c r="B1529" s="330"/>
      <c r="C1529" s="720">
        <f>IF(D1477="","-",+C1528+1)</f>
        <v>2061</v>
      </c>
      <c r="D1529" s="673">
        <f t="shared" si="142"/>
        <v>0</v>
      </c>
      <c r="E1529" s="726">
        <f t="shared" si="143"/>
        <v>0</v>
      </c>
      <c r="F1529" s="726">
        <f t="shared" si="136"/>
        <v>0</v>
      </c>
      <c r="G1529" s="673">
        <f t="shared" si="137"/>
        <v>0</v>
      </c>
      <c r="H1529" s="721">
        <f>+J1478*G1529+E1529</f>
        <v>0</v>
      </c>
      <c r="I1529" s="727">
        <f>+J1479*G1529+E1529</f>
        <v>0</v>
      </c>
      <c r="J1529" s="724">
        <f t="shared" si="138"/>
        <v>0</v>
      </c>
      <c r="K1529" s="724"/>
      <c r="L1529" s="728"/>
      <c r="M1529" s="724">
        <f t="shared" si="139"/>
        <v>0</v>
      </c>
      <c r="N1529" s="728"/>
      <c r="O1529" s="724">
        <f t="shared" si="140"/>
        <v>0</v>
      </c>
      <c r="P1529" s="724">
        <f t="shared" si="141"/>
        <v>0</v>
      </c>
      <c r="Q1529" s="674"/>
    </row>
    <row r="1530" spans="2:17">
      <c r="B1530" s="330"/>
      <c r="C1530" s="720">
        <f>IF(D1477="","-",+C1529+1)</f>
        <v>2062</v>
      </c>
      <c r="D1530" s="673">
        <f t="shared" si="142"/>
        <v>0</v>
      </c>
      <c r="E1530" s="726">
        <f t="shared" si="143"/>
        <v>0</v>
      </c>
      <c r="F1530" s="726">
        <f t="shared" si="136"/>
        <v>0</v>
      </c>
      <c r="G1530" s="673">
        <f t="shared" si="137"/>
        <v>0</v>
      </c>
      <c r="H1530" s="721">
        <f>+J1478*G1530+E1530</f>
        <v>0</v>
      </c>
      <c r="I1530" s="727">
        <f>+J1479*G1530+E1530</f>
        <v>0</v>
      </c>
      <c r="J1530" s="724">
        <f t="shared" si="138"/>
        <v>0</v>
      </c>
      <c r="K1530" s="724"/>
      <c r="L1530" s="728"/>
      <c r="M1530" s="724">
        <f t="shared" si="139"/>
        <v>0</v>
      </c>
      <c r="N1530" s="728"/>
      <c r="O1530" s="724">
        <f t="shared" si="140"/>
        <v>0</v>
      </c>
      <c r="P1530" s="724">
        <f t="shared" si="141"/>
        <v>0</v>
      </c>
      <c r="Q1530" s="674"/>
    </row>
    <row r="1531" spans="2:17">
      <c r="B1531" s="330"/>
      <c r="C1531" s="720">
        <f>IF(D1477="","-",+C1530+1)</f>
        <v>2063</v>
      </c>
      <c r="D1531" s="673">
        <f t="shared" si="142"/>
        <v>0</v>
      </c>
      <c r="E1531" s="726">
        <f t="shared" si="143"/>
        <v>0</v>
      </c>
      <c r="F1531" s="726">
        <f t="shared" si="136"/>
        <v>0</v>
      </c>
      <c r="G1531" s="673">
        <f t="shared" si="137"/>
        <v>0</v>
      </c>
      <c r="H1531" s="721">
        <f>+J1478*G1531+E1531</f>
        <v>0</v>
      </c>
      <c r="I1531" s="727">
        <f>+J1479*G1531+E1531</f>
        <v>0</v>
      </c>
      <c r="J1531" s="724">
        <f t="shared" si="138"/>
        <v>0</v>
      </c>
      <c r="K1531" s="724"/>
      <c r="L1531" s="728"/>
      <c r="M1531" s="724">
        <f t="shared" si="139"/>
        <v>0</v>
      </c>
      <c r="N1531" s="728"/>
      <c r="O1531" s="724">
        <f t="shared" si="140"/>
        <v>0</v>
      </c>
      <c r="P1531" s="724">
        <f t="shared" si="141"/>
        <v>0</v>
      </c>
      <c r="Q1531" s="674"/>
    </row>
    <row r="1532" spans="2:17">
      <c r="B1532" s="330"/>
      <c r="C1532" s="720">
        <f>IF(D1477="","-",+C1531+1)</f>
        <v>2064</v>
      </c>
      <c r="D1532" s="673">
        <f t="shared" si="142"/>
        <v>0</v>
      </c>
      <c r="E1532" s="726">
        <f t="shared" si="143"/>
        <v>0</v>
      </c>
      <c r="F1532" s="726">
        <f t="shared" si="136"/>
        <v>0</v>
      </c>
      <c r="G1532" s="673">
        <f t="shared" si="137"/>
        <v>0</v>
      </c>
      <c r="H1532" s="721">
        <f>+J1478*G1532+E1532</f>
        <v>0</v>
      </c>
      <c r="I1532" s="727">
        <f>+J1479*G1532+E1532</f>
        <v>0</v>
      </c>
      <c r="J1532" s="724">
        <f t="shared" si="138"/>
        <v>0</v>
      </c>
      <c r="K1532" s="724"/>
      <c r="L1532" s="728"/>
      <c r="M1532" s="724">
        <f t="shared" si="139"/>
        <v>0</v>
      </c>
      <c r="N1532" s="728"/>
      <c r="O1532" s="724">
        <f t="shared" si="140"/>
        <v>0</v>
      </c>
      <c r="P1532" s="724">
        <f t="shared" si="141"/>
        <v>0</v>
      </c>
      <c r="Q1532" s="674"/>
    </row>
    <row r="1533" spans="2:17">
      <c r="B1533" s="330"/>
      <c r="C1533" s="720">
        <f>IF(D1477="","-",+C1532+1)</f>
        <v>2065</v>
      </c>
      <c r="D1533" s="673">
        <f t="shared" si="142"/>
        <v>0</v>
      </c>
      <c r="E1533" s="726">
        <f t="shared" si="143"/>
        <v>0</v>
      </c>
      <c r="F1533" s="726">
        <f t="shared" si="136"/>
        <v>0</v>
      </c>
      <c r="G1533" s="673">
        <f t="shared" si="137"/>
        <v>0</v>
      </c>
      <c r="H1533" s="721">
        <f>+J1478*G1533+E1533</f>
        <v>0</v>
      </c>
      <c r="I1533" s="727">
        <f>+J1479*G1533+E1533</f>
        <v>0</v>
      </c>
      <c r="J1533" s="724">
        <f t="shared" si="138"/>
        <v>0</v>
      </c>
      <c r="K1533" s="724"/>
      <c r="L1533" s="728"/>
      <c r="M1533" s="724">
        <f t="shared" si="139"/>
        <v>0</v>
      </c>
      <c r="N1533" s="728"/>
      <c r="O1533" s="724">
        <f t="shared" si="140"/>
        <v>0</v>
      </c>
      <c r="P1533" s="724">
        <f t="shared" si="141"/>
        <v>0</v>
      </c>
      <c r="Q1533" s="674"/>
    </row>
    <row r="1534" spans="2:17">
      <c r="B1534" s="330"/>
      <c r="C1534" s="720">
        <f>IF(D1477="","-",+C1533+1)</f>
        <v>2066</v>
      </c>
      <c r="D1534" s="673">
        <f t="shared" si="142"/>
        <v>0</v>
      </c>
      <c r="E1534" s="726">
        <f t="shared" si="143"/>
        <v>0</v>
      </c>
      <c r="F1534" s="726">
        <f t="shared" si="136"/>
        <v>0</v>
      </c>
      <c r="G1534" s="673">
        <f t="shared" si="137"/>
        <v>0</v>
      </c>
      <c r="H1534" s="721">
        <f>+J1478*G1534+E1534</f>
        <v>0</v>
      </c>
      <c r="I1534" s="727">
        <f>+J1479*G1534+E1534</f>
        <v>0</v>
      </c>
      <c r="J1534" s="724">
        <f t="shared" si="138"/>
        <v>0</v>
      </c>
      <c r="K1534" s="724"/>
      <c r="L1534" s="728"/>
      <c r="M1534" s="724">
        <f t="shared" si="139"/>
        <v>0</v>
      </c>
      <c r="N1534" s="728"/>
      <c r="O1534" s="724">
        <f t="shared" si="140"/>
        <v>0</v>
      </c>
      <c r="P1534" s="724">
        <f t="shared" si="141"/>
        <v>0</v>
      </c>
      <c r="Q1534" s="674"/>
    </row>
    <row r="1535" spans="2:17">
      <c r="B1535" s="330"/>
      <c r="C1535" s="720">
        <f>IF(D1477="","-",+C1534+1)</f>
        <v>2067</v>
      </c>
      <c r="D1535" s="673">
        <f t="shared" si="142"/>
        <v>0</v>
      </c>
      <c r="E1535" s="726">
        <f t="shared" si="143"/>
        <v>0</v>
      </c>
      <c r="F1535" s="726">
        <f t="shared" si="136"/>
        <v>0</v>
      </c>
      <c r="G1535" s="673">
        <f t="shared" si="137"/>
        <v>0</v>
      </c>
      <c r="H1535" s="721">
        <f>+J1478*G1535+E1535</f>
        <v>0</v>
      </c>
      <c r="I1535" s="727">
        <f>+J1479*G1535+E1535</f>
        <v>0</v>
      </c>
      <c r="J1535" s="724">
        <f t="shared" si="138"/>
        <v>0</v>
      </c>
      <c r="K1535" s="724"/>
      <c r="L1535" s="728"/>
      <c r="M1535" s="724">
        <f t="shared" si="139"/>
        <v>0</v>
      </c>
      <c r="N1535" s="728"/>
      <c r="O1535" s="724">
        <f t="shared" si="140"/>
        <v>0</v>
      </c>
      <c r="P1535" s="724">
        <f t="shared" si="141"/>
        <v>0</v>
      </c>
      <c r="Q1535" s="674"/>
    </row>
    <row r="1536" spans="2:17">
      <c r="B1536" s="330"/>
      <c r="C1536" s="720">
        <f>IF(D1477="","-",+C1535+1)</f>
        <v>2068</v>
      </c>
      <c r="D1536" s="673">
        <f t="shared" si="142"/>
        <v>0</v>
      </c>
      <c r="E1536" s="726">
        <f t="shared" si="143"/>
        <v>0</v>
      </c>
      <c r="F1536" s="726">
        <f t="shared" si="136"/>
        <v>0</v>
      </c>
      <c r="G1536" s="673">
        <f t="shared" si="137"/>
        <v>0</v>
      </c>
      <c r="H1536" s="721">
        <f>+J1478*G1536+E1536</f>
        <v>0</v>
      </c>
      <c r="I1536" s="727">
        <f>+J1479*G1536+E1536</f>
        <v>0</v>
      </c>
      <c r="J1536" s="724">
        <f t="shared" si="138"/>
        <v>0</v>
      </c>
      <c r="K1536" s="724"/>
      <c r="L1536" s="728"/>
      <c r="M1536" s="724">
        <f t="shared" si="139"/>
        <v>0</v>
      </c>
      <c r="N1536" s="728"/>
      <c r="O1536" s="724">
        <f t="shared" si="140"/>
        <v>0</v>
      </c>
      <c r="P1536" s="724">
        <f t="shared" si="141"/>
        <v>0</v>
      </c>
      <c r="Q1536" s="674"/>
    </row>
    <row r="1537" spans="1:17">
      <c r="B1537" s="330"/>
      <c r="C1537" s="720">
        <f>IF(D1477="","-",+C1536+1)</f>
        <v>2069</v>
      </c>
      <c r="D1537" s="673">
        <f t="shared" si="142"/>
        <v>0</v>
      </c>
      <c r="E1537" s="726">
        <f t="shared" si="143"/>
        <v>0</v>
      </c>
      <c r="F1537" s="726">
        <f t="shared" si="136"/>
        <v>0</v>
      </c>
      <c r="G1537" s="673">
        <f t="shared" si="137"/>
        <v>0</v>
      </c>
      <c r="H1537" s="721">
        <f>+J1478*G1537+E1537</f>
        <v>0</v>
      </c>
      <c r="I1537" s="727">
        <f>+J1479*G1537+E1537</f>
        <v>0</v>
      </c>
      <c r="J1537" s="724">
        <f t="shared" si="138"/>
        <v>0</v>
      </c>
      <c r="K1537" s="724"/>
      <c r="L1537" s="728"/>
      <c r="M1537" s="724">
        <f t="shared" si="139"/>
        <v>0</v>
      </c>
      <c r="N1537" s="728"/>
      <c r="O1537" s="724">
        <f t="shared" si="140"/>
        <v>0</v>
      </c>
      <c r="P1537" s="724">
        <f t="shared" si="141"/>
        <v>0</v>
      </c>
      <c r="Q1537" s="674"/>
    </row>
    <row r="1538" spans="1:17">
      <c r="B1538" s="330"/>
      <c r="C1538" s="720">
        <f>IF(D1477="","-",+C1537+1)</f>
        <v>2070</v>
      </c>
      <c r="D1538" s="673">
        <f t="shared" si="142"/>
        <v>0</v>
      </c>
      <c r="E1538" s="726">
        <f t="shared" si="143"/>
        <v>0</v>
      </c>
      <c r="F1538" s="726">
        <f t="shared" si="136"/>
        <v>0</v>
      </c>
      <c r="G1538" s="673">
        <f t="shared" si="137"/>
        <v>0</v>
      </c>
      <c r="H1538" s="721">
        <f>+J1478*G1538+E1538</f>
        <v>0</v>
      </c>
      <c r="I1538" s="727">
        <f>+J1479*G1538+E1538</f>
        <v>0</v>
      </c>
      <c r="J1538" s="724">
        <f t="shared" si="138"/>
        <v>0</v>
      </c>
      <c r="K1538" s="724"/>
      <c r="L1538" s="728"/>
      <c r="M1538" s="724">
        <f t="shared" si="139"/>
        <v>0</v>
      </c>
      <c r="N1538" s="728"/>
      <c r="O1538" s="724">
        <f t="shared" si="140"/>
        <v>0</v>
      </c>
      <c r="P1538" s="724">
        <f t="shared" si="141"/>
        <v>0</v>
      </c>
      <c r="Q1538" s="674"/>
    </row>
    <row r="1539" spans="1:17">
      <c r="B1539" s="330"/>
      <c r="C1539" s="720">
        <f>IF(D1477="","-",+C1538+1)</f>
        <v>2071</v>
      </c>
      <c r="D1539" s="673">
        <f t="shared" si="142"/>
        <v>0</v>
      </c>
      <c r="E1539" s="726">
        <f t="shared" si="143"/>
        <v>0</v>
      </c>
      <c r="F1539" s="726">
        <f t="shared" si="136"/>
        <v>0</v>
      </c>
      <c r="G1539" s="673">
        <f t="shared" si="137"/>
        <v>0</v>
      </c>
      <c r="H1539" s="721">
        <f>+J1478*G1539+E1539</f>
        <v>0</v>
      </c>
      <c r="I1539" s="727">
        <f>+J1479*G1539+E1539</f>
        <v>0</v>
      </c>
      <c r="J1539" s="724">
        <f t="shared" si="138"/>
        <v>0</v>
      </c>
      <c r="K1539" s="724"/>
      <c r="L1539" s="728"/>
      <c r="M1539" s="724">
        <f t="shared" si="139"/>
        <v>0</v>
      </c>
      <c r="N1539" s="728"/>
      <c r="O1539" s="724">
        <f t="shared" si="140"/>
        <v>0</v>
      </c>
      <c r="P1539" s="724">
        <f t="shared" si="141"/>
        <v>0</v>
      </c>
      <c r="Q1539" s="674"/>
    </row>
    <row r="1540" spans="1:17">
      <c r="B1540" s="330"/>
      <c r="C1540" s="720">
        <f>IF(D1477="","-",+C1539+1)</f>
        <v>2072</v>
      </c>
      <c r="D1540" s="673">
        <f t="shared" si="142"/>
        <v>0</v>
      </c>
      <c r="E1540" s="726">
        <f t="shared" si="143"/>
        <v>0</v>
      </c>
      <c r="F1540" s="726">
        <f t="shared" si="136"/>
        <v>0</v>
      </c>
      <c r="G1540" s="673">
        <f t="shared" si="137"/>
        <v>0</v>
      </c>
      <c r="H1540" s="721">
        <f>+J1478*G1540+E1540</f>
        <v>0</v>
      </c>
      <c r="I1540" s="727">
        <f>+J1479*G1540+E1540</f>
        <v>0</v>
      </c>
      <c r="J1540" s="724">
        <f t="shared" si="138"/>
        <v>0</v>
      </c>
      <c r="K1540" s="724"/>
      <c r="L1540" s="728"/>
      <c r="M1540" s="724">
        <f t="shared" si="139"/>
        <v>0</v>
      </c>
      <c r="N1540" s="728"/>
      <c r="O1540" s="724">
        <f t="shared" si="140"/>
        <v>0</v>
      </c>
      <c r="P1540" s="724">
        <f t="shared" si="141"/>
        <v>0</v>
      </c>
      <c r="Q1540" s="674"/>
    </row>
    <row r="1541" spans="1:17">
      <c r="B1541" s="330"/>
      <c r="C1541" s="720">
        <f>IF(D1477="","-",+C1540+1)</f>
        <v>2073</v>
      </c>
      <c r="D1541" s="673">
        <f t="shared" si="142"/>
        <v>0</v>
      </c>
      <c r="E1541" s="726">
        <f t="shared" si="143"/>
        <v>0</v>
      </c>
      <c r="F1541" s="726">
        <f t="shared" si="136"/>
        <v>0</v>
      </c>
      <c r="G1541" s="673">
        <f t="shared" si="137"/>
        <v>0</v>
      </c>
      <c r="H1541" s="721">
        <f>+J1478*G1541+E1541</f>
        <v>0</v>
      </c>
      <c r="I1541" s="727">
        <f>+J1479*G1541+E1541</f>
        <v>0</v>
      </c>
      <c r="J1541" s="724">
        <f t="shared" si="138"/>
        <v>0</v>
      </c>
      <c r="K1541" s="724"/>
      <c r="L1541" s="728"/>
      <c r="M1541" s="724">
        <f t="shared" si="139"/>
        <v>0</v>
      </c>
      <c r="N1541" s="728"/>
      <c r="O1541" s="724">
        <f t="shared" si="140"/>
        <v>0</v>
      </c>
      <c r="P1541" s="724">
        <f t="shared" si="141"/>
        <v>0</v>
      </c>
      <c r="Q1541" s="674"/>
    </row>
    <row r="1542" spans="1:17" ht="13.5" thickBot="1">
      <c r="B1542" s="330"/>
      <c r="C1542" s="730">
        <f>IF(D1477="","-",+C1541+1)</f>
        <v>2074</v>
      </c>
      <c r="D1542" s="731">
        <f t="shared" si="142"/>
        <v>0</v>
      </c>
      <c r="E1542" s="1313">
        <f t="shared" si="143"/>
        <v>0</v>
      </c>
      <c r="F1542" s="732">
        <f t="shared" si="136"/>
        <v>0</v>
      </c>
      <c r="G1542" s="731">
        <f t="shared" si="137"/>
        <v>0</v>
      </c>
      <c r="H1542" s="733">
        <f>+J1478*G1542+E1542</f>
        <v>0</v>
      </c>
      <c r="I1542" s="733">
        <f>+J1479*G1542+E1542</f>
        <v>0</v>
      </c>
      <c r="J1542" s="734">
        <f t="shared" si="138"/>
        <v>0</v>
      </c>
      <c r="K1542" s="724"/>
      <c r="L1542" s="735"/>
      <c r="M1542" s="734">
        <f t="shared" si="139"/>
        <v>0</v>
      </c>
      <c r="N1542" s="735"/>
      <c r="O1542" s="734">
        <f t="shared" si="140"/>
        <v>0</v>
      </c>
      <c r="P1542" s="734">
        <f t="shared" si="141"/>
        <v>0</v>
      </c>
      <c r="Q1542" s="674"/>
    </row>
    <row r="1543" spans="1:17">
      <c r="B1543" s="330"/>
      <c r="C1543" s="673" t="s">
        <v>288</v>
      </c>
      <c r="D1543" s="669"/>
      <c r="E1543" s="669">
        <f>SUM(E1483:E1542)</f>
        <v>6852887.8200000003</v>
      </c>
      <c r="F1543" s="669"/>
      <c r="G1543" s="669"/>
      <c r="H1543" s="669">
        <f>SUM(H1483:H1542)</f>
        <v>31033222.884940725</v>
      </c>
      <c r="I1543" s="669">
        <f>SUM(I1483:I1542)</f>
        <v>31033222.884940725</v>
      </c>
      <c r="J1543" s="669">
        <f>SUM(J1483:J1542)</f>
        <v>0</v>
      </c>
      <c r="K1543" s="669"/>
      <c r="L1543" s="669"/>
      <c r="M1543" s="669"/>
      <c r="N1543" s="669"/>
      <c r="O1543" s="669"/>
      <c r="Q1543" s="669"/>
    </row>
    <row r="1544" spans="1:17">
      <c r="B1544" s="330"/>
      <c r="D1544" s="563"/>
      <c r="E1544" s="542"/>
      <c r="F1544" s="542"/>
      <c r="G1544" s="542"/>
      <c r="H1544" s="542"/>
      <c r="I1544" s="646"/>
      <c r="J1544" s="646"/>
      <c r="K1544" s="669"/>
      <c r="L1544" s="646"/>
      <c r="M1544" s="646"/>
      <c r="N1544" s="646"/>
      <c r="O1544" s="646"/>
      <c r="Q1544" s="669"/>
    </row>
    <row r="1545" spans="1:17">
      <c r="B1545" s="330"/>
      <c r="C1545" s="542" t="s">
        <v>595</v>
      </c>
      <c r="D1545" s="563"/>
      <c r="E1545" s="542"/>
      <c r="F1545" s="542"/>
      <c r="G1545" s="542"/>
      <c r="H1545" s="542"/>
      <c r="I1545" s="646"/>
      <c r="J1545" s="646"/>
      <c r="K1545" s="669"/>
      <c r="L1545" s="646"/>
      <c r="M1545" s="646"/>
      <c r="N1545" s="646"/>
      <c r="O1545" s="646"/>
      <c r="Q1545" s="669"/>
    </row>
    <row r="1546" spans="1:17">
      <c r="B1546" s="330"/>
      <c r="D1546" s="563"/>
      <c r="E1546" s="542"/>
      <c r="F1546" s="542"/>
      <c r="G1546" s="542"/>
      <c r="H1546" s="542"/>
      <c r="I1546" s="646"/>
      <c r="J1546" s="646"/>
      <c r="K1546" s="669"/>
      <c r="L1546" s="646"/>
      <c r="M1546" s="646"/>
      <c r="N1546" s="646"/>
      <c r="O1546" s="646"/>
      <c r="Q1546" s="669"/>
    </row>
    <row r="1547" spans="1:17">
      <c r="B1547" s="330"/>
      <c r="C1547" s="576" t="s">
        <v>596</v>
      </c>
      <c r="D1547" s="673"/>
      <c r="E1547" s="673"/>
      <c r="F1547" s="673"/>
      <c r="G1547" s="673"/>
      <c r="H1547" s="669"/>
      <c r="I1547" s="669"/>
      <c r="J1547" s="674"/>
      <c r="K1547" s="674"/>
      <c r="L1547" s="674"/>
      <c r="M1547" s="674"/>
      <c r="N1547" s="674"/>
      <c r="O1547" s="674"/>
      <c r="Q1547" s="674"/>
    </row>
    <row r="1548" spans="1:17">
      <c r="B1548" s="330"/>
      <c r="C1548" s="576" t="s">
        <v>476</v>
      </c>
      <c r="D1548" s="673"/>
      <c r="E1548" s="673"/>
      <c r="F1548" s="673"/>
      <c r="G1548" s="673"/>
      <c r="H1548" s="669"/>
      <c r="I1548" s="669"/>
      <c r="J1548" s="674"/>
      <c r="K1548" s="674"/>
      <c r="L1548" s="674"/>
      <c r="M1548" s="674"/>
      <c r="N1548" s="674"/>
      <c r="O1548" s="674"/>
      <c r="Q1548" s="674"/>
    </row>
    <row r="1549" spans="1:17">
      <c r="B1549" s="330"/>
      <c r="C1549" s="576" t="s">
        <v>289</v>
      </c>
      <c r="D1549" s="673"/>
      <c r="E1549" s="673"/>
      <c r="F1549" s="673"/>
      <c r="G1549" s="673"/>
      <c r="H1549" s="669"/>
      <c r="I1549" s="669"/>
      <c r="J1549" s="674"/>
      <c r="K1549" s="674"/>
      <c r="L1549" s="674"/>
      <c r="M1549" s="674"/>
      <c r="N1549" s="674"/>
      <c r="O1549" s="674"/>
      <c r="Q1549" s="674"/>
    </row>
    <row r="1550" spans="1:17" ht="20.25">
      <c r="A1550" s="675" t="s">
        <v>764</v>
      </c>
      <c r="B1550" s="542"/>
      <c r="C1550" s="655"/>
      <c r="D1550" s="563"/>
      <c r="E1550" s="542"/>
      <c r="F1550" s="645"/>
      <c r="G1550" s="645"/>
      <c r="H1550" s="542"/>
      <c r="I1550" s="646"/>
      <c r="L1550" s="676"/>
      <c r="M1550" s="676"/>
      <c r="N1550" s="676"/>
      <c r="O1550" s="591" t="str">
        <f>"Page "&amp;SUM(Q$3:Q1550)&amp;" of "</f>
        <v xml:space="preserve">Page 19 of </v>
      </c>
      <c r="P1550" s="592">
        <f>COUNT(Q$8:Q$58212)</f>
        <v>23</v>
      </c>
      <c r="Q1550" s="756">
        <v>1</v>
      </c>
    </row>
    <row r="1551" spans="1:17">
      <c r="B1551" s="542"/>
      <c r="C1551" s="542"/>
      <c r="D1551" s="563"/>
      <c r="E1551" s="542"/>
      <c r="F1551" s="542"/>
      <c r="G1551" s="542"/>
      <c r="H1551" s="542"/>
      <c r="I1551" s="646"/>
      <c r="J1551" s="542"/>
      <c r="K1551" s="588"/>
      <c r="Q1551" s="588"/>
    </row>
    <row r="1552" spans="1:17" ht="18">
      <c r="B1552" s="595" t="s">
        <v>174</v>
      </c>
      <c r="C1552" s="677" t="s">
        <v>290</v>
      </c>
      <c r="D1552" s="563"/>
      <c r="E1552" s="542"/>
      <c r="F1552" s="542"/>
      <c r="G1552" s="542"/>
      <c r="H1552" s="542"/>
      <c r="I1552" s="646"/>
      <c r="J1552" s="646"/>
      <c r="K1552" s="669"/>
      <c r="L1552" s="646"/>
      <c r="M1552" s="646"/>
      <c r="N1552" s="646"/>
      <c r="O1552" s="646"/>
      <c r="Q1552" s="669"/>
    </row>
    <row r="1553" spans="1:17" ht="18.75">
      <c r="B1553" s="595"/>
      <c r="C1553" s="594"/>
      <c r="D1553" s="563"/>
      <c r="E1553" s="542"/>
      <c r="F1553" s="542"/>
      <c r="G1553" s="542"/>
      <c r="H1553" s="542"/>
      <c r="I1553" s="646"/>
      <c r="J1553" s="646"/>
      <c r="K1553" s="669"/>
      <c r="L1553" s="646"/>
      <c r="M1553" s="646"/>
      <c r="N1553" s="646"/>
      <c r="O1553" s="646"/>
      <c r="Q1553" s="669"/>
    </row>
    <row r="1554" spans="1:17" ht="18.75">
      <c r="B1554" s="595"/>
      <c r="C1554" s="594" t="s">
        <v>291</v>
      </c>
      <c r="D1554" s="563"/>
      <c r="E1554" s="542"/>
      <c r="F1554" s="542"/>
      <c r="G1554" s="542"/>
      <c r="H1554" s="542"/>
      <c r="I1554" s="646"/>
      <c r="J1554" s="646"/>
      <c r="K1554" s="669"/>
      <c r="L1554" s="646"/>
      <c r="M1554" s="646"/>
      <c r="N1554" s="646"/>
      <c r="O1554" s="646"/>
      <c r="Q1554" s="669"/>
    </row>
    <row r="1555" spans="1:17" ht="15.75" thickBot="1">
      <c r="B1555" s="330"/>
      <c r="C1555" s="396"/>
      <c r="D1555" s="563"/>
      <c r="E1555" s="542"/>
      <c r="F1555" s="542"/>
      <c r="G1555" s="542"/>
      <c r="H1555" s="542"/>
      <c r="I1555" s="646"/>
      <c r="J1555" s="646"/>
      <c r="K1555" s="669"/>
      <c r="L1555" s="646"/>
      <c r="M1555" s="646"/>
      <c r="N1555" s="646"/>
      <c r="O1555" s="646"/>
      <c r="Q1555" s="669"/>
    </row>
    <row r="1556" spans="1:17" ht="15.75">
      <c r="B1556" s="330"/>
      <c r="C1556" s="596" t="s">
        <v>292</v>
      </c>
      <c r="D1556" s="563"/>
      <c r="E1556" s="542"/>
      <c r="F1556" s="542"/>
      <c r="G1556" s="542"/>
      <c r="H1556" s="864"/>
      <c r="I1556" s="542" t="s">
        <v>271</v>
      </c>
      <c r="J1556" s="542"/>
      <c r="K1556" s="588"/>
      <c r="L1556" s="757">
        <f>+J1562</f>
        <v>2021</v>
      </c>
      <c r="M1556" s="739" t="s">
        <v>254</v>
      </c>
      <c r="N1556" s="739" t="s">
        <v>255</v>
      </c>
      <c r="O1556" s="740" t="s">
        <v>256</v>
      </c>
      <c r="Q1556" s="588"/>
    </row>
    <row r="1557" spans="1:17" ht="15.75">
      <c r="B1557" s="330"/>
      <c r="C1557" s="596"/>
      <c r="D1557" s="563"/>
      <c r="E1557" s="542"/>
      <c r="F1557" s="542"/>
      <c r="H1557" s="542"/>
      <c r="I1557" s="681"/>
      <c r="J1557" s="681"/>
      <c r="K1557" s="682"/>
      <c r="L1557" s="758" t="s">
        <v>455</v>
      </c>
      <c r="M1557" s="759">
        <f>VLOOKUP(J1562,C1569:P1628,10)</f>
        <v>891359.34134511673</v>
      </c>
      <c r="N1557" s="759">
        <f>VLOOKUP(J1562,C1569:P1628,12)</f>
        <v>891359.34134511673</v>
      </c>
      <c r="O1557" s="760">
        <f>+N1557-M1557</f>
        <v>0</v>
      </c>
      <c r="Q1557" s="682"/>
    </row>
    <row r="1558" spans="1:17">
      <c r="B1558" s="330"/>
      <c r="C1558" s="684" t="s">
        <v>293</v>
      </c>
      <c r="D1558" s="1703" t="s">
        <v>951</v>
      </c>
      <c r="E1558" s="1703"/>
      <c r="F1558" s="1703"/>
      <c r="G1558" s="1703" t="s">
        <v>950</v>
      </c>
      <c r="H1558" s="1703"/>
      <c r="I1558" s="1703"/>
      <c r="J1558" s="646"/>
      <c r="K1558" s="669"/>
      <c r="L1558" s="758" t="s">
        <v>456</v>
      </c>
      <c r="M1558" s="761">
        <f>VLOOKUP(J1562,C1569:P1628,6)</f>
        <v>944204.78005391499</v>
      </c>
      <c r="N1558" s="761">
        <f>VLOOKUP(J1562,C1569:P1628,7)</f>
        <v>944204.78005391499</v>
      </c>
      <c r="O1558" s="762">
        <f>+N1558-M1558</f>
        <v>0</v>
      </c>
      <c r="Q1558" s="669"/>
    </row>
    <row r="1559" spans="1:17" ht="13.5" thickBot="1">
      <c r="B1559" s="330"/>
      <c r="C1559" s="686"/>
      <c r="D1559" s="690" t="s">
        <v>114</v>
      </c>
      <c r="E1559" s="688"/>
      <c r="F1559" s="688"/>
      <c r="G1559" s="688"/>
      <c r="H1559" s="688"/>
      <c r="I1559" s="688"/>
      <c r="J1559" s="646"/>
      <c r="K1559" s="669"/>
      <c r="L1559" s="705" t="s">
        <v>457</v>
      </c>
      <c r="M1559" s="763">
        <f>+M1558-M1557</f>
        <v>52845.438708798261</v>
      </c>
      <c r="N1559" s="763">
        <f>+N1558-N1557</f>
        <v>52845.438708798261</v>
      </c>
      <c r="O1559" s="764">
        <f>+O1558-O1557</f>
        <v>0</v>
      </c>
      <c r="Q1559" s="669"/>
    </row>
    <row r="1560" spans="1:17" ht="13.5" thickBot="1">
      <c r="B1560" s="330"/>
      <c r="C1560" s="689"/>
      <c r="D1560" s="690"/>
      <c r="E1560" s="688"/>
      <c r="F1560" s="688"/>
      <c r="G1560" s="688"/>
      <c r="H1560" s="688"/>
      <c r="I1560" s="688"/>
      <c r="J1560" s="688"/>
      <c r="K1560" s="691"/>
      <c r="L1560" s="688"/>
      <c r="M1560" s="688"/>
      <c r="N1560" s="688"/>
      <c r="O1560" s="688"/>
      <c r="P1560" s="576"/>
      <c r="Q1560" s="691"/>
    </row>
    <row r="1561" spans="1:17" ht="13.5" thickBot="1">
      <c r="B1561" s="330"/>
      <c r="C1561" s="692" t="s">
        <v>294</v>
      </c>
      <c r="D1561" s="693"/>
      <c r="E1561" s="693"/>
      <c r="F1561" s="693"/>
      <c r="G1561" s="693"/>
      <c r="H1561" s="693"/>
      <c r="I1561" s="693"/>
      <c r="J1561" s="693"/>
      <c r="K1561" s="695"/>
      <c r="P1561" s="696"/>
      <c r="Q1561" s="695"/>
    </row>
    <row r="1562" spans="1:17" ht="15">
      <c r="A1562" s="1310"/>
      <c r="B1562" s="330"/>
      <c r="C1562" s="697" t="s">
        <v>272</v>
      </c>
      <c r="D1562" s="1453">
        <v>6094421.0099999998</v>
      </c>
      <c r="E1562" s="655" t="s">
        <v>273</v>
      </c>
      <c r="H1562" s="698"/>
      <c r="I1562" s="698"/>
      <c r="J1562" s="1451">
        <f>$J$95</f>
        <v>2021</v>
      </c>
      <c r="K1562" s="586"/>
      <c r="L1562" s="1717" t="s">
        <v>274</v>
      </c>
      <c r="M1562" s="1717"/>
      <c r="N1562" s="1717"/>
      <c r="O1562" s="1717"/>
      <c r="P1562" s="588"/>
      <c r="Q1562" s="586"/>
    </row>
    <row r="1563" spans="1:17">
      <c r="A1563" s="1310"/>
      <c r="B1563" s="330"/>
      <c r="C1563" s="697" t="s">
        <v>275</v>
      </c>
      <c r="D1563" s="865">
        <v>2015</v>
      </c>
      <c r="E1563" s="697" t="s">
        <v>276</v>
      </c>
      <c r="F1563" s="698"/>
      <c r="G1563" s="698"/>
      <c r="I1563" s="330"/>
      <c r="J1563" s="867">
        <v>0</v>
      </c>
      <c r="K1563" s="700"/>
      <c r="L1563" s="669" t="s">
        <v>475</v>
      </c>
      <c r="P1563" s="588"/>
      <c r="Q1563" s="700"/>
    </row>
    <row r="1564" spans="1:17">
      <c r="A1564" s="1310"/>
      <c r="B1564" s="330"/>
      <c r="C1564" s="697" t="s">
        <v>277</v>
      </c>
      <c r="D1564" s="1253">
        <v>5</v>
      </c>
      <c r="E1564" s="697" t="s">
        <v>278</v>
      </c>
      <c r="F1564" s="698"/>
      <c r="G1564" s="698"/>
      <c r="I1564" s="330"/>
      <c r="J1564" s="701">
        <f>$F$70</f>
        <v>0.15341253840442806</v>
      </c>
      <c r="K1564" s="702"/>
      <c r="L1564" s="542" t="str">
        <f>"          INPUT TRUE-UP ARR (WITH &amp; WITHOUT INCENTIVES) FROM EACH PRIOR YEAR"</f>
        <v xml:space="preserve">          INPUT TRUE-UP ARR (WITH &amp; WITHOUT INCENTIVES) FROM EACH PRIOR YEAR</v>
      </c>
      <c r="P1564" s="588"/>
      <c r="Q1564" s="702"/>
    </row>
    <row r="1565" spans="1:17">
      <c r="A1565" s="1310"/>
      <c r="B1565" s="330"/>
      <c r="C1565" s="697" t="s">
        <v>279</v>
      </c>
      <c r="D1565" s="703">
        <f>H79</f>
        <v>44</v>
      </c>
      <c r="E1565" s="697" t="s">
        <v>280</v>
      </c>
      <c r="F1565" s="698"/>
      <c r="G1565" s="698"/>
      <c r="I1565" s="330"/>
      <c r="J1565" s="701">
        <f>IF(H1556="",J1564,$F$69)</f>
        <v>0.15341253840442806</v>
      </c>
      <c r="K1565" s="704"/>
      <c r="L1565" s="542" t="s">
        <v>362</v>
      </c>
      <c r="M1565" s="704"/>
      <c r="N1565" s="704"/>
      <c r="O1565" s="704"/>
      <c r="P1565" s="588"/>
      <c r="Q1565" s="704"/>
    </row>
    <row r="1566" spans="1:17" ht="13.5" thickBot="1">
      <c r="A1566" s="1310"/>
      <c r="B1566" s="330"/>
      <c r="C1566" s="697" t="s">
        <v>281</v>
      </c>
      <c r="D1566" s="866" t="s">
        <v>933</v>
      </c>
      <c r="E1566" s="705" t="s">
        <v>282</v>
      </c>
      <c r="F1566" s="706"/>
      <c r="G1566" s="706"/>
      <c r="H1566" s="707"/>
      <c r="I1566" s="707"/>
      <c r="J1566" s="685">
        <f>IF(D1562=0,0,D1562/D1565)</f>
        <v>138509.56840909089</v>
      </c>
      <c r="K1566" s="669"/>
      <c r="L1566" s="669" t="s">
        <v>363</v>
      </c>
      <c r="M1566" s="669"/>
      <c r="N1566" s="669"/>
      <c r="O1566" s="669"/>
      <c r="P1566" s="588"/>
      <c r="Q1566" s="669"/>
    </row>
    <row r="1567" spans="1:17" ht="38.25">
      <c r="A1567" s="529"/>
      <c r="B1567" s="529"/>
      <c r="C1567" s="708" t="s">
        <v>272</v>
      </c>
      <c r="D1567" s="709" t="s">
        <v>283</v>
      </c>
      <c r="E1567" s="710" t="s">
        <v>284</v>
      </c>
      <c r="F1567" s="709" t="s">
        <v>285</v>
      </c>
      <c r="G1567" s="709" t="s">
        <v>458</v>
      </c>
      <c r="H1567" s="710" t="s">
        <v>356</v>
      </c>
      <c r="I1567" s="711" t="s">
        <v>356</v>
      </c>
      <c r="J1567" s="708" t="s">
        <v>295</v>
      </c>
      <c r="K1567" s="712"/>
      <c r="L1567" s="710" t="s">
        <v>358</v>
      </c>
      <c r="M1567" s="710" t="s">
        <v>364</v>
      </c>
      <c r="N1567" s="710" t="s">
        <v>358</v>
      </c>
      <c r="O1567" s="710" t="s">
        <v>366</v>
      </c>
      <c r="P1567" s="710" t="s">
        <v>286</v>
      </c>
      <c r="Q1567" s="713"/>
    </row>
    <row r="1568" spans="1:17" ht="13.5" thickBot="1">
      <c r="B1568" s="330"/>
      <c r="C1568" s="714" t="s">
        <v>177</v>
      </c>
      <c r="D1568" s="715" t="s">
        <v>178</v>
      </c>
      <c r="E1568" s="714" t="s">
        <v>37</v>
      </c>
      <c r="F1568" s="715" t="s">
        <v>178</v>
      </c>
      <c r="G1568" s="715" t="s">
        <v>178</v>
      </c>
      <c r="H1568" s="716" t="s">
        <v>298</v>
      </c>
      <c r="I1568" s="717" t="s">
        <v>300</v>
      </c>
      <c r="J1568" s="718" t="s">
        <v>389</v>
      </c>
      <c r="K1568" s="719"/>
      <c r="L1568" s="716" t="s">
        <v>287</v>
      </c>
      <c r="M1568" s="716" t="s">
        <v>287</v>
      </c>
      <c r="N1568" s="716" t="s">
        <v>467</v>
      </c>
      <c r="O1568" s="716" t="s">
        <v>467</v>
      </c>
      <c r="P1568" s="716" t="s">
        <v>467</v>
      </c>
      <c r="Q1568" s="586"/>
    </row>
    <row r="1569" spans="2:17">
      <c r="B1569" s="330"/>
      <c r="C1569" s="720">
        <f>IF(D1563= "","-",D1563)</f>
        <v>2015</v>
      </c>
      <c r="D1569" s="673">
        <f>+D1562</f>
        <v>6094421.0099999998</v>
      </c>
      <c r="E1569" s="721">
        <f>+J1566/12*(12-D1564)</f>
        <v>80797.248238636355</v>
      </c>
      <c r="F1569" s="765">
        <f t="shared" ref="F1569:F1628" si="144">+D1569-E1569</f>
        <v>6013623.7617613636</v>
      </c>
      <c r="G1569" s="673">
        <f t="shared" ref="G1569:G1628" si="145">+(D1569+F1569)/2</f>
        <v>6054022.3858806817</v>
      </c>
      <c r="H1569" s="722">
        <f>+J1564*G1569+E1569</f>
        <v>1009560.1900138236</v>
      </c>
      <c r="I1569" s="723">
        <f>+J1565*G1569+E1569</f>
        <v>1009560.1900138236</v>
      </c>
      <c r="J1569" s="724">
        <f t="shared" ref="J1569:J1628" si="146">+I1569-H1569</f>
        <v>0</v>
      </c>
      <c r="K1569" s="724"/>
      <c r="L1569" s="728">
        <v>805154</v>
      </c>
      <c r="M1569" s="766">
        <f t="shared" ref="M1569:M1628" si="147">IF(L1569&lt;&gt;0,+H1569-L1569,0)</f>
        <v>204406.19001382357</v>
      </c>
      <c r="N1569" s="728">
        <v>805154</v>
      </c>
      <c r="O1569" s="766">
        <f t="shared" ref="O1569:O1628" si="148">IF(N1569&lt;&gt;0,+I1569-N1569,0)</f>
        <v>204406.19001382357</v>
      </c>
      <c r="P1569" s="766">
        <f t="shared" ref="P1569:P1628" si="149">+O1569-M1569</f>
        <v>0</v>
      </c>
      <c r="Q1569" s="674"/>
    </row>
    <row r="1570" spans="2:17">
      <c r="B1570" s="330"/>
      <c r="C1570" s="720">
        <f>IF(D1563="","-",+C1569+1)</f>
        <v>2016</v>
      </c>
      <c r="D1570" s="673">
        <f t="shared" ref="D1570:D1628" si="150">F1569</f>
        <v>6013623.7617613636</v>
      </c>
      <c r="E1570" s="726">
        <f>IF(D1570&gt;$J$1566,$J$1566,D1570)</f>
        <v>138509.56840909089</v>
      </c>
      <c r="F1570" s="726">
        <f t="shared" si="144"/>
        <v>5875114.1933522727</v>
      </c>
      <c r="G1570" s="673">
        <f t="shared" si="145"/>
        <v>5944368.9775568182</v>
      </c>
      <c r="H1570" s="721">
        <f>+J1564*G1570+E1570</f>
        <v>1050450.302468617</v>
      </c>
      <c r="I1570" s="727">
        <f>+J1565*G1570+E1570</f>
        <v>1050450.302468617</v>
      </c>
      <c r="J1570" s="724">
        <f t="shared" si="146"/>
        <v>0</v>
      </c>
      <c r="K1570" s="724"/>
      <c r="L1570" s="728">
        <v>1159062</v>
      </c>
      <c r="M1570" s="724">
        <f t="shared" si="147"/>
        <v>-108611.69753138302</v>
      </c>
      <c r="N1570" s="728">
        <v>1159062</v>
      </c>
      <c r="O1570" s="724">
        <f t="shared" si="148"/>
        <v>-108611.69753138302</v>
      </c>
      <c r="P1570" s="724">
        <f t="shared" si="149"/>
        <v>0</v>
      </c>
      <c r="Q1570" s="674"/>
    </row>
    <row r="1571" spans="2:17">
      <c r="B1571" s="330"/>
      <c r="C1571" s="720">
        <f>IF(D1563="","-",+C1570+1)</f>
        <v>2017</v>
      </c>
      <c r="D1571" s="673">
        <f t="shared" si="150"/>
        <v>5875114.1933522727</v>
      </c>
      <c r="E1571" s="726">
        <f t="shared" ref="E1571:E1628" si="151">IF(D1571&gt;$J$1566,$J$1566,D1571)</f>
        <v>138509.56840909089</v>
      </c>
      <c r="F1571" s="726">
        <f t="shared" si="144"/>
        <v>5736604.6249431819</v>
      </c>
      <c r="G1571" s="673">
        <f t="shared" si="145"/>
        <v>5805859.4091477273</v>
      </c>
      <c r="H1571" s="721">
        <f>+J1564*G1571+E1571</f>
        <v>1029201.1979856766</v>
      </c>
      <c r="I1571" s="727">
        <f>+J1565*G1571+E1571</f>
        <v>1029201.1979856766</v>
      </c>
      <c r="J1571" s="724">
        <f t="shared" si="146"/>
        <v>0</v>
      </c>
      <c r="K1571" s="724"/>
      <c r="L1571" s="728">
        <v>1177370</v>
      </c>
      <c r="M1571" s="724">
        <f t="shared" si="147"/>
        <v>-148168.80201432342</v>
      </c>
      <c r="N1571" s="728">
        <v>1177370</v>
      </c>
      <c r="O1571" s="724">
        <f t="shared" si="148"/>
        <v>-148168.80201432342</v>
      </c>
      <c r="P1571" s="724">
        <f t="shared" si="149"/>
        <v>0</v>
      </c>
      <c r="Q1571" s="674"/>
    </row>
    <row r="1572" spans="2:17">
      <c r="B1572" s="330"/>
      <c r="C1572" s="720">
        <f>IF(D1563="","-",+C1571+1)</f>
        <v>2018</v>
      </c>
      <c r="D1572" s="1455">
        <f t="shared" si="150"/>
        <v>5736604.6249431819</v>
      </c>
      <c r="E1572" s="726">
        <f t="shared" si="151"/>
        <v>138509.56840909089</v>
      </c>
      <c r="F1572" s="726">
        <f t="shared" si="144"/>
        <v>5598095.056534091</v>
      </c>
      <c r="G1572" s="673">
        <f t="shared" si="145"/>
        <v>5667349.8407386364</v>
      </c>
      <c r="H1572" s="721">
        <f>+J1564*G1572+E1572</f>
        <v>1007952.0935027362</v>
      </c>
      <c r="I1572" s="727">
        <f>+J1565*G1572+E1572</f>
        <v>1007952.0935027362</v>
      </c>
      <c r="J1572" s="724">
        <f t="shared" si="146"/>
        <v>0</v>
      </c>
      <c r="K1572" s="724"/>
      <c r="L1572" s="728">
        <v>974758</v>
      </c>
      <c r="M1572" s="724">
        <f t="shared" si="147"/>
        <v>33194.093502736185</v>
      </c>
      <c r="N1572" s="728">
        <v>974758</v>
      </c>
      <c r="O1572" s="724">
        <f t="shared" si="148"/>
        <v>33194.093502736185</v>
      </c>
      <c r="P1572" s="724">
        <f t="shared" si="149"/>
        <v>0</v>
      </c>
      <c r="Q1572" s="674"/>
    </row>
    <row r="1573" spans="2:17">
      <c r="B1573" s="330"/>
      <c r="C1573" s="720">
        <f>IF(D1563="","-",+C1572+1)</f>
        <v>2019</v>
      </c>
      <c r="D1573" s="1269">
        <f t="shared" si="150"/>
        <v>5598095.056534091</v>
      </c>
      <c r="E1573" s="726">
        <f t="shared" si="151"/>
        <v>138509.56840909089</v>
      </c>
      <c r="F1573" s="726">
        <f t="shared" si="144"/>
        <v>5459585.4881250001</v>
      </c>
      <c r="G1573" s="673">
        <f t="shared" si="145"/>
        <v>5528840.2723295456</v>
      </c>
      <c r="H1573" s="721">
        <f>+J1564*G1573+E1573</f>
        <v>986702.98901979579</v>
      </c>
      <c r="I1573" s="727">
        <f>+J1565*G1573+E1573</f>
        <v>986702.98901979579</v>
      </c>
      <c r="J1573" s="724">
        <f t="shared" si="146"/>
        <v>0</v>
      </c>
      <c r="K1573" s="724"/>
      <c r="L1573" s="1452">
        <v>948328</v>
      </c>
      <c r="M1573" s="724">
        <f t="shared" si="147"/>
        <v>38374.989019795787</v>
      </c>
      <c r="N1573" s="1452">
        <v>948328</v>
      </c>
      <c r="O1573" s="724">
        <f t="shared" si="148"/>
        <v>38374.989019795787</v>
      </c>
      <c r="P1573" s="724">
        <f t="shared" si="149"/>
        <v>0</v>
      </c>
      <c r="Q1573" s="674"/>
    </row>
    <row r="1574" spans="2:17">
      <c r="B1574" s="330"/>
      <c r="C1574" s="720">
        <f>IF(D1563="","-",+C1573+1)</f>
        <v>2020</v>
      </c>
      <c r="D1574" s="1269">
        <f t="shared" si="150"/>
        <v>5459585.4881250001</v>
      </c>
      <c r="E1574" s="726">
        <f t="shared" si="151"/>
        <v>138509.56840909089</v>
      </c>
      <c r="F1574" s="726">
        <f t="shared" si="144"/>
        <v>5321075.9197159093</v>
      </c>
      <c r="G1574" s="673">
        <f t="shared" si="145"/>
        <v>5390330.7039204547</v>
      </c>
      <c r="H1574" s="721">
        <f>+J1564*G1574+E1574</f>
        <v>965453.88453685539</v>
      </c>
      <c r="I1574" s="727">
        <f>+J1565*G1574+E1574</f>
        <v>965453.88453685539</v>
      </c>
      <c r="J1574" s="724">
        <f t="shared" si="146"/>
        <v>0</v>
      </c>
      <c r="K1574" s="724"/>
      <c r="L1574" s="728">
        <v>914070.39983147441</v>
      </c>
      <c r="M1574" s="724">
        <f t="shared" si="147"/>
        <v>51383.484705380979</v>
      </c>
      <c r="N1574" s="1548">
        <v>914070.39983147441</v>
      </c>
      <c r="O1574" s="724">
        <f t="shared" si="148"/>
        <v>51383.484705380979</v>
      </c>
      <c r="P1574" s="724">
        <f t="shared" si="149"/>
        <v>0</v>
      </c>
      <c r="Q1574" s="674"/>
    </row>
    <row r="1575" spans="2:17">
      <c r="B1575" s="330"/>
      <c r="C1575" s="720">
        <f>IF(D1563="","-",+C1574+1)</f>
        <v>2021</v>
      </c>
      <c r="D1575" s="1269">
        <f t="shared" si="150"/>
        <v>5321075.9197159093</v>
      </c>
      <c r="E1575" s="726">
        <f t="shared" si="151"/>
        <v>138509.56840909089</v>
      </c>
      <c r="F1575" s="726">
        <f t="shared" si="144"/>
        <v>5182566.3513068184</v>
      </c>
      <c r="G1575" s="673">
        <f t="shared" si="145"/>
        <v>5251821.1355113639</v>
      </c>
      <c r="H1575" s="721">
        <f>+J1564*G1575+E1575</f>
        <v>944204.78005391499</v>
      </c>
      <c r="I1575" s="727">
        <f>+J1565*G1575+E1575</f>
        <v>944204.78005391499</v>
      </c>
      <c r="J1575" s="724">
        <f t="shared" si="146"/>
        <v>0</v>
      </c>
      <c r="K1575" s="724"/>
      <c r="L1575" s="728">
        <v>891359.34134511673</v>
      </c>
      <c r="M1575" s="724">
        <f t="shared" si="147"/>
        <v>52845.438708798261</v>
      </c>
      <c r="N1575" s="1548">
        <v>891359.34134511673</v>
      </c>
      <c r="O1575" s="724">
        <f t="shared" si="148"/>
        <v>52845.438708798261</v>
      </c>
      <c r="P1575" s="724">
        <f t="shared" si="149"/>
        <v>0</v>
      </c>
      <c r="Q1575" s="674"/>
    </row>
    <row r="1576" spans="2:17">
      <c r="B1576" s="330"/>
      <c r="C1576" s="720">
        <f>IF(D1563="","-",+C1575+1)</f>
        <v>2022</v>
      </c>
      <c r="D1576" s="673">
        <f t="shared" si="150"/>
        <v>5182566.3513068184</v>
      </c>
      <c r="E1576" s="726">
        <f t="shared" si="151"/>
        <v>138509.56840909089</v>
      </c>
      <c r="F1576" s="726">
        <f t="shared" si="144"/>
        <v>5044056.7828977276</v>
      </c>
      <c r="G1576" s="673">
        <f t="shared" si="145"/>
        <v>5113311.567102273</v>
      </c>
      <c r="H1576" s="721">
        <f>+J1564*G1576+E1576</f>
        <v>922955.67557097459</v>
      </c>
      <c r="I1576" s="727">
        <f>+J1565*G1576+E1576</f>
        <v>922955.67557097459</v>
      </c>
      <c r="J1576" s="724">
        <f t="shared" si="146"/>
        <v>0</v>
      </c>
      <c r="K1576" s="724"/>
      <c r="L1576" s="728">
        <v>0</v>
      </c>
      <c r="M1576" s="724">
        <f t="shared" si="147"/>
        <v>0</v>
      </c>
      <c r="N1576" s="728">
        <v>0</v>
      </c>
      <c r="O1576" s="724">
        <f t="shared" si="148"/>
        <v>0</v>
      </c>
      <c r="P1576" s="724">
        <f t="shared" si="149"/>
        <v>0</v>
      </c>
      <c r="Q1576" s="674"/>
    </row>
    <row r="1577" spans="2:17">
      <c r="B1577" s="330"/>
      <c r="C1577" s="720">
        <f>IF(D1563="","-",+C1576+1)</f>
        <v>2023</v>
      </c>
      <c r="D1577" s="673">
        <f t="shared" si="150"/>
        <v>5044056.7828977276</v>
      </c>
      <c r="E1577" s="726">
        <f t="shared" si="151"/>
        <v>138509.56840909089</v>
      </c>
      <c r="F1577" s="726">
        <f t="shared" si="144"/>
        <v>4905547.2144886367</v>
      </c>
      <c r="G1577" s="673">
        <f t="shared" si="145"/>
        <v>4974801.9986931821</v>
      </c>
      <c r="H1577" s="721">
        <f>+J1564*G1577+E1577</f>
        <v>901706.57108803419</v>
      </c>
      <c r="I1577" s="727">
        <f>+J1565*G1577+E1577</f>
        <v>901706.57108803419</v>
      </c>
      <c r="J1577" s="724">
        <f t="shared" si="146"/>
        <v>0</v>
      </c>
      <c r="K1577" s="724"/>
      <c r="L1577" s="728">
        <v>0</v>
      </c>
      <c r="M1577" s="724">
        <f t="shared" si="147"/>
        <v>0</v>
      </c>
      <c r="N1577" s="728">
        <v>0</v>
      </c>
      <c r="O1577" s="724">
        <f t="shared" si="148"/>
        <v>0</v>
      </c>
      <c r="P1577" s="724">
        <f t="shared" si="149"/>
        <v>0</v>
      </c>
      <c r="Q1577" s="674"/>
    </row>
    <row r="1578" spans="2:17">
      <c r="B1578" s="330"/>
      <c r="C1578" s="1291">
        <f>IF(D1563="","-",+C1577+1)</f>
        <v>2024</v>
      </c>
      <c r="D1578" s="673">
        <f t="shared" si="150"/>
        <v>4905547.2144886367</v>
      </c>
      <c r="E1578" s="726">
        <f t="shared" si="151"/>
        <v>138509.56840909089</v>
      </c>
      <c r="F1578" s="726">
        <f t="shared" si="144"/>
        <v>4767037.6460795458</v>
      </c>
      <c r="G1578" s="673">
        <f t="shared" si="145"/>
        <v>4836292.4302840913</v>
      </c>
      <c r="H1578" s="721">
        <f>+J1564*G1578+E1578</f>
        <v>880457.46660509368</v>
      </c>
      <c r="I1578" s="727">
        <f>+J1565*G1578+E1578</f>
        <v>880457.46660509368</v>
      </c>
      <c r="J1578" s="724">
        <f t="shared" si="146"/>
        <v>0</v>
      </c>
      <c r="K1578" s="724"/>
      <c r="L1578" s="728">
        <v>0</v>
      </c>
      <c r="M1578" s="724">
        <f t="shared" si="147"/>
        <v>0</v>
      </c>
      <c r="N1578" s="728">
        <v>0</v>
      </c>
      <c r="O1578" s="724">
        <f t="shared" si="148"/>
        <v>0</v>
      </c>
      <c r="P1578" s="724">
        <f t="shared" si="149"/>
        <v>0</v>
      </c>
      <c r="Q1578" s="674"/>
    </row>
    <row r="1579" spans="2:17">
      <c r="B1579" s="330"/>
      <c r="C1579" s="720">
        <f>IF(D1563="","-",+C1578+1)</f>
        <v>2025</v>
      </c>
      <c r="D1579" s="673">
        <f t="shared" si="150"/>
        <v>4767037.6460795458</v>
      </c>
      <c r="E1579" s="726">
        <f t="shared" si="151"/>
        <v>138509.56840909089</v>
      </c>
      <c r="F1579" s="726">
        <f t="shared" si="144"/>
        <v>4628528.077670455</v>
      </c>
      <c r="G1579" s="673">
        <f t="shared" si="145"/>
        <v>4697782.8618750004</v>
      </c>
      <c r="H1579" s="721">
        <f>+J1564*G1579+E1579</f>
        <v>859208.36212215328</v>
      </c>
      <c r="I1579" s="727">
        <f>+J1565*G1579+E1579</f>
        <v>859208.36212215328</v>
      </c>
      <c r="J1579" s="724">
        <f t="shared" si="146"/>
        <v>0</v>
      </c>
      <c r="K1579" s="724"/>
      <c r="L1579" s="728"/>
      <c r="M1579" s="724">
        <f t="shared" si="147"/>
        <v>0</v>
      </c>
      <c r="N1579" s="728"/>
      <c r="O1579" s="724">
        <f t="shared" si="148"/>
        <v>0</v>
      </c>
      <c r="P1579" s="724">
        <f t="shared" si="149"/>
        <v>0</v>
      </c>
      <c r="Q1579" s="674"/>
    </row>
    <row r="1580" spans="2:17">
      <c r="B1580" s="330"/>
      <c r="C1580" s="720">
        <f>IF(D1563="","-",+C1579+1)</f>
        <v>2026</v>
      </c>
      <c r="D1580" s="673">
        <f t="shared" si="150"/>
        <v>4628528.077670455</v>
      </c>
      <c r="E1580" s="726">
        <f t="shared" si="151"/>
        <v>138509.56840909089</v>
      </c>
      <c r="F1580" s="726">
        <f t="shared" si="144"/>
        <v>4490018.5092613641</v>
      </c>
      <c r="G1580" s="673">
        <f t="shared" si="145"/>
        <v>4559273.2934659095</v>
      </c>
      <c r="H1580" s="721">
        <f>+J1564*G1580+E1580</f>
        <v>837959.25763921288</v>
      </c>
      <c r="I1580" s="727">
        <f>+J1565*G1580+E1580</f>
        <v>837959.25763921288</v>
      </c>
      <c r="J1580" s="724">
        <f t="shared" si="146"/>
        <v>0</v>
      </c>
      <c r="K1580" s="724"/>
      <c r="L1580" s="728"/>
      <c r="M1580" s="724">
        <f t="shared" si="147"/>
        <v>0</v>
      </c>
      <c r="N1580" s="728"/>
      <c r="O1580" s="724">
        <f t="shared" si="148"/>
        <v>0</v>
      </c>
      <c r="P1580" s="724">
        <f t="shared" si="149"/>
        <v>0</v>
      </c>
      <c r="Q1580" s="674"/>
    </row>
    <row r="1581" spans="2:17">
      <c r="B1581" s="330"/>
      <c r="C1581" s="720">
        <f>IF(D1563="","-",+C1580+1)</f>
        <v>2027</v>
      </c>
      <c r="D1581" s="673">
        <f t="shared" si="150"/>
        <v>4490018.5092613641</v>
      </c>
      <c r="E1581" s="726">
        <f t="shared" si="151"/>
        <v>138509.56840909089</v>
      </c>
      <c r="F1581" s="726">
        <f t="shared" si="144"/>
        <v>4351508.9408522733</v>
      </c>
      <c r="G1581" s="673">
        <f t="shared" si="145"/>
        <v>4420763.7250568187</v>
      </c>
      <c r="H1581" s="721">
        <f>+J1564*G1581+E1581</f>
        <v>816710.15315627248</v>
      </c>
      <c r="I1581" s="727">
        <f>+J1565*G1581+E1581</f>
        <v>816710.15315627248</v>
      </c>
      <c r="J1581" s="724">
        <f t="shared" si="146"/>
        <v>0</v>
      </c>
      <c r="K1581" s="724"/>
      <c r="L1581" s="728"/>
      <c r="M1581" s="724">
        <f t="shared" si="147"/>
        <v>0</v>
      </c>
      <c r="N1581" s="728"/>
      <c r="O1581" s="724">
        <f t="shared" si="148"/>
        <v>0</v>
      </c>
      <c r="P1581" s="724">
        <f t="shared" si="149"/>
        <v>0</v>
      </c>
      <c r="Q1581" s="674"/>
    </row>
    <row r="1582" spans="2:17">
      <c r="B1582" s="330"/>
      <c r="C1582" s="720">
        <f>IF(D1563="","-",+C1581+1)</f>
        <v>2028</v>
      </c>
      <c r="D1582" s="673">
        <f t="shared" si="150"/>
        <v>4351508.9408522733</v>
      </c>
      <c r="E1582" s="726">
        <f t="shared" si="151"/>
        <v>138509.56840909089</v>
      </c>
      <c r="F1582" s="726">
        <f t="shared" si="144"/>
        <v>4212999.3724431824</v>
      </c>
      <c r="G1582" s="673">
        <f t="shared" si="145"/>
        <v>4282254.1566477278</v>
      </c>
      <c r="H1582" s="721">
        <f>+J1564*G1582+E1582</f>
        <v>795461.04867333209</v>
      </c>
      <c r="I1582" s="727">
        <f>+J1565*G1582+E1582</f>
        <v>795461.04867333209</v>
      </c>
      <c r="J1582" s="724">
        <f t="shared" si="146"/>
        <v>0</v>
      </c>
      <c r="K1582" s="724"/>
      <c r="L1582" s="728"/>
      <c r="M1582" s="724">
        <f t="shared" si="147"/>
        <v>0</v>
      </c>
      <c r="N1582" s="728"/>
      <c r="O1582" s="724">
        <f t="shared" si="148"/>
        <v>0</v>
      </c>
      <c r="P1582" s="724">
        <f t="shared" si="149"/>
        <v>0</v>
      </c>
      <c r="Q1582" s="674"/>
    </row>
    <row r="1583" spans="2:17">
      <c r="B1583" s="330"/>
      <c r="C1583" s="720">
        <f>IF(D1563="","-",+C1582+1)</f>
        <v>2029</v>
      </c>
      <c r="D1583" s="673">
        <f t="shared" si="150"/>
        <v>4212999.3724431824</v>
      </c>
      <c r="E1583" s="726">
        <f t="shared" si="151"/>
        <v>138509.56840909089</v>
      </c>
      <c r="F1583" s="726">
        <f t="shared" si="144"/>
        <v>4074489.8040340915</v>
      </c>
      <c r="G1583" s="673">
        <f t="shared" si="145"/>
        <v>4143744.588238637</v>
      </c>
      <c r="H1583" s="721">
        <f>+J1564*G1583+E1583</f>
        <v>774211.94419039169</v>
      </c>
      <c r="I1583" s="727">
        <f>+J1565*G1583+E1583</f>
        <v>774211.94419039169</v>
      </c>
      <c r="J1583" s="724">
        <f t="shared" si="146"/>
        <v>0</v>
      </c>
      <c r="K1583" s="724"/>
      <c r="L1583" s="728"/>
      <c r="M1583" s="724">
        <f t="shared" si="147"/>
        <v>0</v>
      </c>
      <c r="N1583" s="728"/>
      <c r="O1583" s="724">
        <f t="shared" si="148"/>
        <v>0</v>
      </c>
      <c r="P1583" s="724">
        <f t="shared" si="149"/>
        <v>0</v>
      </c>
      <c r="Q1583" s="674"/>
    </row>
    <row r="1584" spans="2:17">
      <c r="B1584" s="330"/>
      <c r="C1584" s="720">
        <f>IF(D1563="","-",+C1583+1)</f>
        <v>2030</v>
      </c>
      <c r="D1584" s="673">
        <f t="shared" si="150"/>
        <v>4074489.8040340915</v>
      </c>
      <c r="E1584" s="726">
        <f t="shared" si="151"/>
        <v>138509.56840909089</v>
      </c>
      <c r="F1584" s="726">
        <f t="shared" si="144"/>
        <v>3935980.2356250007</v>
      </c>
      <c r="G1584" s="673">
        <f t="shared" si="145"/>
        <v>4005235.0198295461</v>
      </c>
      <c r="H1584" s="721">
        <f>+J1564*G1584+E1584</f>
        <v>752962.83970745129</v>
      </c>
      <c r="I1584" s="727">
        <f>+J1565*G1584+E1584</f>
        <v>752962.83970745129</v>
      </c>
      <c r="J1584" s="724">
        <f t="shared" si="146"/>
        <v>0</v>
      </c>
      <c r="K1584" s="724"/>
      <c r="L1584" s="728"/>
      <c r="M1584" s="724">
        <f t="shared" si="147"/>
        <v>0</v>
      </c>
      <c r="N1584" s="728"/>
      <c r="O1584" s="724">
        <f t="shared" si="148"/>
        <v>0</v>
      </c>
      <c r="P1584" s="724">
        <f t="shared" si="149"/>
        <v>0</v>
      </c>
      <c r="Q1584" s="674"/>
    </row>
    <row r="1585" spans="2:17">
      <c r="B1585" s="330"/>
      <c r="C1585" s="720">
        <f>IF(D1563="","-",+C1584+1)</f>
        <v>2031</v>
      </c>
      <c r="D1585" s="673">
        <f t="shared" si="150"/>
        <v>3935980.2356250007</v>
      </c>
      <c r="E1585" s="726">
        <f t="shared" si="151"/>
        <v>138509.56840909089</v>
      </c>
      <c r="F1585" s="726">
        <f t="shared" si="144"/>
        <v>3797470.6672159098</v>
      </c>
      <c r="G1585" s="673">
        <f t="shared" si="145"/>
        <v>3866725.4514204552</v>
      </c>
      <c r="H1585" s="721">
        <f>+J1564*G1585+E1585</f>
        <v>731713.73522451089</v>
      </c>
      <c r="I1585" s="727">
        <f>+J1565*G1585+E1585</f>
        <v>731713.73522451089</v>
      </c>
      <c r="J1585" s="724">
        <f t="shared" si="146"/>
        <v>0</v>
      </c>
      <c r="K1585" s="724"/>
      <c r="L1585" s="728"/>
      <c r="M1585" s="724">
        <f t="shared" si="147"/>
        <v>0</v>
      </c>
      <c r="N1585" s="728"/>
      <c r="O1585" s="724">
        <f t="shared" si="148"/>
        <v>0</v>
      </c>
      <c r="P1585" s="724">
        <f t="shared" si="149"/>
        <v>0</v>
      </c>
      <c r="Q1585" s="674"/>
    </row>
    <row r="1586" spans="2:17">
      <c r="B1586" s="330"/>
      <c r="C1586" s="720">
        <f>IF(D1563="","-",+C1585+1)</f>
        <v>2032</v>
      </c>
      <c r="D1586" s="673">
        <f t="shared" si="150"/>
        <v>3797470.6672159098</v>
      </c>
      <c r="E1586" s="726">
        <f t="shared" si="151"/>
        <v>138509.56840909089</v>
      </c>
      <c r="F1586" s="726">
        <f t="shared" si="144"/>
        <v>3658961.0988068189</v>
      </c>
      <c r="G1586" s="673">
        <f t="shared" si="145"/>
        <v>3728215.8830113644</v>
      </c>
      <c r="H1586" s="721">
        <f>+J1564*G1586+E1586</f>
        <v>710464.63074157049</v>
      </c>
      <c r="I1586" s="727">
        <f>+J1565*G1586+E1586</f>
        <v>710464.63074157049</v>
      </c>
      <c r="J1586" s="724">
        <f t="shared" si="146"/>
        <v>0</v>
      </c>
      <c r="K1586" s="724"/>
      <c r="L1586" s="728"/>
      <c r="M1586" s="724">
        <f t="shared" si="147"/>
        <v>0</v>
      </c>
      <c r="N1586" s="728"/>
      <c r="O1586" s="724">
        <f t="shared" si="148"/>
        <v>0</v>
      </c>
      <c r="P1586" s="724">
        <f t="shared" si="149"/>
        <v>0</v>
      </c>
      <c r="Q1586" s="674"/>
    </row>
    <row r="1587" spans="2:17">
      <c r="B1587" s="330"/>
      <c r="C1587" s="720">
        <f>IF(D1563="","-",+C1586+1)</f>
        <v>2033</v>
      </c>
      <c r="D1587" s="673">
        <f t="shared" si="150"/>
        <v>3658961.0988068189</v>
      </c>
      <c r="E1587" s="726">
        <f t="shared" si="151"/>
        <v>138509.56840909089</v>
      </c>
      <c r="F1587" s="726">
        <f t="shared" si="144"/>
        <v>3520451.5303977281</v>
      </c>
      <c r="G1587" s="673">
        <f t="shared" si="145"/>
        <v>3589706.3146022735</v>
      </c>
      <c r="H1587" s="721">
        <f>+J1564*G1587+E1587</f>
        <v>689215.5262586301</v>
      </c>
      <c r="I1587" s="727">
        <f>+J1565*G1587+E1587</f>
        <v>689215.5262586301</v>
      </c>
      <c r="J1587" s="724">
        <f t="shared" si="146"/>
        <v>0</v>
      </c>
      <c r="K1587" s="724"/>
      <c r="L1587" s="728"/>
      <c r="M1587" s="724">
        <f t="shared" si="147"/>
        <v>0</v>
      </c>
      <c r="N1587" s="728"/>
      <c r="O1587" s="724">
        <f t="shared" si="148"/>
        <v>0</v>
      </c>
      <c r="P1587" s="724">
        <f t="shared" si="149"/>
        <v>0</v>
      </c>
      <c r="Q1587" s="674"/>
    </row>
    <row r="1588" spans="2:17">
      <c r="B1588" s="330"/>
      <c r="C1588" s="720">
        <f>IF(D1563="","-",+C1587+1)</f>
        <v>2034</v>
      </c>
      <c r="D1588" s="673">
        <f t="shared" si="150"/>
        <v>3520451.5303977281</v>
      </c>
      <c r="E1588" s="726">
        <f t="shared" si="151"/>
        <v>138509.56840909089</v>
      </c>
      <c r="F1588" s="726">
        <f t="shared" si="144"/>
        <v>3381941.9619886372</v>
      </c>
      <c r="G1588" s="673">
        <f t="shared" si="145"/>
        <v>3451196.7461931827</v>
      </c>
      <c r="H1588" s="721">
        <f>+J1564*G1588+E1588</f>
        <v>667966.4217756897</v>
      </c>
      <c r="I1588" s="727">
        <f>+J1565*G1588+E1588</f>
        <v>667966.4217756897</v>
      </c>
      <c r="J1588" s="724">
        <f t="shared" si="146"/>
        <v>0</v>
      </c>
      <c r="K1588" s="724"/>
      <c r="L1588" s="728"/>
      <c r="M1588" s="724">
        <f t="shared" si="147"/>
        <v>0</v>
      </c>
      <c r="N1588" s="728"/>
      <c r="O1588" s="724">
        <f t="shared" si="148"/>
        <v>0</v>
      </c>
      <c r="P1588" s="724">
        <f t="shared" si="149"/>
        <v>0</v>
      </c>
      <c r="Q1588" s="674"/>
    </row>
    <row r="1589" spans="2:17">
      <c r="B1589" s="330"/>
      <c r="C1589" s="720">
        <f>IF(D1563="","-",+C1588+1)</f>
        <v>2035</v>
      </c>
      <c r="D1589" s="673">
        <f t="shared" si="150"/>
        <v>3381941.9619886372</v>
      </c>
      <c r="E1589" s="726">
        <f t="shared" si="151"/>
        <v>138509.56840909089</v>
      </c>
      <c r="F1589" s="726">
        <f t="shared" si="144"/>
        <v>3243432.3935795464</v>
      </c>
      <c r="G1589" s="673">
        <f t="shared" si="145"/>
        <v>3312687.1777840918</v>
      </c>
      <c r="H1589" s="721">
        <f>+J1564*G1589+E1589</f>
        <v>646717.3172927493</v>
      </c>
      <c r="I1589" s="727">
        <f>+J1565*G1589+E1589</f>
        <v>646717.3172927493</v>
      </c>
      <c r="J1589" s="724">
        <f t="shared" si="146"/>
        <v>0</v>
      </c>
      <c r="K1589" s="724"/>
      <c r="L1589" s="728"/>
      <c r="M1589" s="724">
        <f t="shared" si="147"/>
        <v>0</v>
      </c>
      <c r="N1589" s="728"/>
      <c r="O1589" s="724">
        <f t="shared" si="148"/>
        <v>0</v>
      </c>
      <c r="P1589" s="724">
        <f t="shared" si="149"/>
        <v>0</v>
      </c>
      <c r="Q1589" s="674"/>
    </row>
    <row r="1590" spans="2:17">
      <c r="B1590" s="330"/>
      <c r="C1590" s="720">
        <f>IF(D1563="","-",+C1589+1)</f>
        <v>2036</v>
      </c>
      <c r="D1590" s="673">
        <f t="shared" si="150"/>
        <v>3243432.3935795464</v>
      </c>
      <c r="E1590" s="726">
        <f t="shared" si="151"/>
        <v>138509.56840909089</v>
      </c>
      <c r="F1590" s="726">
        <f t="shared" si="144"/>
        <v>3104922.8251704555</v>
      </c>
      <c r="G1590" s="673">
        <f t="shared" si="145"/>
        <v>3174177.6093750009</v>
      </c>
      <c r="H1590" s="721">
        <f>+J1564*G1590+E1590</f>
        <v>625468.2128098089</v>
      </c>
      <c r="I1590" s="727">
        <f>+J1565*G1590+E1590</f>
        <v>625468.2128098089</v>
      </c>
      <c r="J1590" s="724">
        <f t="shared" si="146"/>
        <v>0</v>
      </c>
      <c r="K1590" s="724"/>
      <c r="L1590" s="728"/>
      <c r="M1590" s="724">
        <f t="shared" si="147"/>
        <v>0</v>
      </c>
      <c r="N1590" s="728"/>
      <c r="O1590" s="724">
        <f t="shared" si="148"/>
        <v>0</v>
      </c>
      <c r="P1590" s="724">
        <f t="shared" si="149"/>
        <v>0</v>
      </c>
      <c r="Q1590" s="674"/>
    </row>
    <row r="1591" spans="2:17">
      <c r="B1591" s="330"/>
      <c r="C1591" s="720">
        <f>IF(D1563="","-",+C1590+1)</f>
        <v>2037</v>
      </c>
      <c r="D1591" s="673">
        <f t="shared" si="150"/>
        <v>3104922.8251704555</v>
      </c>
      <c r="E1591" s="726">
        <f t="shared" si="151"/>
        <v>138509.56840909089</v>
      </c>
      <c r="F1591" s="726">
        <f t="shared" si="144"/>
        <v>2966413.2567613646</v>
      </c>
      <c r="G1591" s="673">
        <f t="shared" si="145"/>
        <v>3035668.0409659101</v>
      </c>
      <c r="H1591" s="721">
        <f>+J1564*G1591+E1591</f>
        <v>604219.1083268685</v>
      </c>
      <c r="I1591" s="727">
        <f>+J1565*G1591+E1591</f>
        <v>604219.1083268685</v>
      </c>
      <c r="J1591" s="724">
        <f t="shared" si="146"/>
        <v>0</v>
      </c>
      <c r="K1591" s="724"/>
      <c r="L1591" s="728"/>
      <c r="M1591" s="724">
        <f t="shared" si="147"/>
        <v>0</v>
      </c>
      <c r="N1591" s="728"/>
      <c r="O1591" s="724">
        <f t="shared" si="148"/>
        <v>0</v>
      </c>
      <c r="P1591" s="724">
        <f t="shared" si="149"/>
        <v>0</v>
      </c>
      <c r="Q1591" s="674"/>
    </row>
    <row r="1592" spans="2:17">
      <c r="B1592" s="330"/>
      <c r="C1592" s="720">
        <f>IF(D1563="","-",+C1591+1)</f>
        <v>2038</v>
      </c>
      <c r="D1592" s="673">
        <f t="shared" si="150"/>
        <v>2966413.2567613646</v>
      </c>
      <c r="E1592" s="726">
        <f t="shared" si="151"/>
        <v>138509.56840909089</v>
      </c>
      <c r="F1592" s="726">
        <f t="shared" si="144"/>
        <v>2827903.6883522738</v>
      </c>
      <c r="G1592" s="673">
        <f t="shared" si="145"/>
        <v>2897158.4725568192</v>
      </c>
      <c r="H1592" s="721">
        <f>+J1564*G1592+E1592</f>
        <v>582970.00384392811</v>
      </c>
      <c r="I1592" s="727">
        <f>+J1565*G1592+E1592</f>
        <v>582970.00384392811</v>
      </c>
      <c r="J1592" s="724">
        <f t="shared" si="146"/>
        <v>0</v>
      </c>
      <c r="K1592" s="724"/>
      <c r="L1592" s="728"/>
      <c r="M1592" s="724">
        <f t="shared" si="147"/>
        <v>0</v>
      </c>
      <c r="N1592" s="728"/>
      <c r="O1592" s="724">
        <f t="shared" si="148"/>
        <v>0</v>
      </c>
      <c r="P1592" s="724">
        <f t="shared" si="149"/>
        <v>0</v>
      </c>
      <c r="Q1592" s="674"/>
    </row>
    <row r="1593" spans="2:17">
      <c r="B1593" s="330"/>
      <c r="C1593" s="720">
        <f>IF(D1563="","-",+C1592+1)</f>
        <v>2039</v>
      </c>
      <c r="D1593" s="673">
        <f t="shared" si="150"/>
        <v>2827903.6883522738</v>
      </c>
      <c r="E1593" s="726">
        <f t="shared" si="151"/>
        <v>138509.56840909089</v>
      </c>
      <c r="F1593" s="726">
        <f t="shared" si="144"/>
        <v>2689394.1199431829</v>
      </c>
      <c r="G1593" s="673">
        <f t="shared" si="145"/>
        <v>2758648.9041477283</v>
      </c>
      <c r="H1593" s="721">
        <f>+J1564*G1593+E1593</f>
        <v>561720.89936098771</v>
      </c>
      <c r="I1593" s="727">
        <f>+J1565*G1593+E1593</f>
        <v>561720.89936098771</v>
      </c>
      <c r="J1593" s="724">
        <f t="shared" si="146"/>
        <v>0</v>
      </c>
      <c r="K1593" s="724"/>
      <c r="L1593" s="728"/>
      <c r="M1593" s="724">
        <f t="shared" si="147"/>
        <v>0</v>
      </c>
      <c r="N1593" s="728"/>
      <c r="O1593" s="724">
        <f t="shared" si="148"/>
        <v>0</v>
      </c>
      <c r="P1593" s="724">
        <f t="shared" si="149"/>
        <v>0</v>
      </c>
      <c r="Q1593" s="674"/>
    </row>
    <row r="1594" spans="2:17">
      <c r="B1594" s="330"/>
      <c r="C1594" s="720">
        <f>IF(D1563="","-",+C1593+1)</f>
        <v>2040</v>
      </c>
      <c r="D1594" s="673">
        <f t="shared" si="150"/>
        <v>2689394.1199431829</v>
      </c>
      <c r="E1594" s="726">
        <f t="shared" si="151"/>
        <v>138509.56840909089</v>
      </c>
      <c r="F1594" s="726">
        <f t="shared" si="144"/>
        <v>2550884.5515340921</v>
      </c>
      <c r="G1594" s="673">
        <f t="shared" si="145"/>
        <v>2620139.3357386375</v>
      </c>
      <c r="H1594" s="721">
        <f>+J1564*G1594+E1594</f>
        <v>540471.79487804719</v>
      </c>
      <c r="I1594" s="727">
        <f>+J1565*G1594+E1594</f>
        <v>540471.79487804719</v>
      </c>
      <c r="J1594" s="724">
        <f t="shared" si="146"/>
        <v>0</v>
      </c>
      <c r="K1594" s="724"/>
      <c r="L1594" s="728"/>
      <c r="M1594" s="724">
        <f t="shared" si="147"/>
        <v>0</v>
      </c>
      <c r="N1594" s="728"/>
      <c r="O1594" s="724">
        <f t="shared" si="148"/>
        <v>0</v>
      </c>
      <c r="P1594" s="724">
        <f t="shared" si="149"/>
        <v>0</v>
      </c>
      <c r="Q1594" s="674"/>
    </row>
    <row r="1595" spans="2:17">
      <c r="B1595" s="330"/>
      <c r="C1595" s="720">
        <f>IF(D1563="","-",+C1594+1)</f>
        <v>2041</v>
      </c>
      <c r="D1595" s="673">
        <f t="shared" si="150"/>
        <v>2550884.5515340921</v>
      </c>
      <c r="E1595" s="726">
        <f t="shared" si="151"/>
        <v>138509.56840909089</v>
      </c>
      <c r="F1595" s="726">
        <f t="shared" si="144"/>
        <v>2412374.9831250012</v>
      </c>
      <c r="G1595" s="673">
        <f t="shared" si="145"/>
        <v>2481629.7673295466</v>
      </c>
      <c r="H1595" s="721">
        <f>+J1564*G1595+E1595</f>
        <v>519222.69039510679</v>
      </c>
      <c r="I1595" s="727">
        <f>+J1565*G1595+E1595</f>
        <v>519222.69039510679</v>
      </c>
      <c r="J1595" s="724">
        <f t="shared" si="146"/>
        <v>0</v>
      </c>
      <c r="K1595" s="724"/>
      <c r="L1595" s="728"/>
      <c r="M1595" s="724">
        <f t="shared" si="147"/>
        <v>0</v>
      </c>
      <c r="N1595" s="728"/>
      <c r="O1595" s="724">
        <f t="shared" si="148"/>
        <v>0</v>
      </c>
      <c r="P1595" s="724">
        <f t="shared" si="149"/>
        <v>0</v>
      </c>
      <c r="Q1595" s="674"/>
    </row>
    <row r="1596" spans="2:17">
      <c r="B1596" s="330"/>
      <c r="C1596" s="720">
        <f>IF(D1563="","-",+C1595+1)</f>
        <v>2042</v>
      </c>
      <c r="D1596" s="673">
        <f t="shared" si="150"/>
        <v>2412374.9831250012</v>
      </c>
      <c r="E1596" s="726">
        <f t="shared" si="151"/>
        <v>138509.56840909089</v>
      </c>
      <c r="F1596" s="726">
        <f t="shared" si="144"/>
        <v>2273865.4147159103</v>
      </c>
      <c r="G1596" s="673">
        <f t="shared" si="145"/>
        <v>2343120.1989204558</v>
      </c>
      <c r="H1596" s="721">
        <f>+J1564*G1596+E1596</f>
        <v>497973.5859121664</v>
      </c>
      <c r="I1596" s="727">
        <f>+J1565*G1596+E1596</f>
        <v>497973.5859121664</v>
      </c>
      <c r="J1596" s="724">
        <f t="shared" si="146"/>
        <v>0</v>
      </c>
      <c r="K1596" s="724"/>
      <c r="L1596" s="728"/>
      <c r="M1596" s="724">
        <f t="shared" si="147"/>
        <v>0</v>
      </c>
      <c r="N1596" s="728"/>
      <c r="O1596" s="724">
        <f t="shared" si="148"/>
        <v>0</v>
      </c>
      <c r="P1596" s="724">
        <f t="shared" si="149"/>
        <v>0</v>
      </c>
      <c r="Q1596" s="674"/>
    </row>
    <row r="1597" spans="2:17">
      <c r="B1597" s="330"/>
      <c r="C1597" s="720">
        <f>IF(D1563="","-",+C1596+1)</f>
        <v>2043</v>
      </c>
      <c r="D1597" s="673">
        <f t="shared" si="150"/>
        <v>2273865.4147159103</v>
      </c>
      <c r="E1597" s="726">
        <f t="shared" si="151"/>
        <v>138509.56840909089</v>
      </c>
      <c r="F1597" s="726">
        <f t="shared" si="144"/>
        <v>2135355.8463068195</v>
      </c>
      <c r="G1597" s="673">
        <f t="shared" si="145"/>
        <v>2204610.6305113649</v>
      </c>
      <c r="H1597" s="721">
        <f>+J1564*G1597+E1597</f>
        <v>476724.481429226</v>
      </c>
      <c r="I1597" s="727">
        <f>+J1565*G1597+E1597</f>
        <v>476724.481429226</v>
      </c>
      <c r="J1597" s="724">
        <f t="shared" si="146"/>
        <v>0</v>
      </c>
      <c r="K1597" s="724"/>
      <c r="L1597" s="728"/>
      <c r="M1597" s="724">
        <f t="shared" si="147"/>
        <v>0</v>
      </c>
      <c r="N1597" s="728"/>
      <c r="O1597" s="724">
        <f t="shared" si="148"/>
        <v>0</v>
      </c>
      <c r="P1597" s="724">
        <f t="shared" si="149"/>
        <v>0</v>
      </c>
      <c r="Q1597" s="674"/>
    </row>
    <row r="1598" spans="2:17">
      <c r="B1598" s="330"/>
      <c r="C1598" s="720">
        <f>IF(D1563="","-",+C1597+1)</f>
        <v>2044</v>
      </c>
      <c r="D1598" s="673">
        <f t="shared" si="150"/>
        <v>2135355.8463068195</v>
      </c>
      <c r="E1598" s="726">
        <f t="shared" si="151"/>
        <v>138509.56840909089</v>
      </c>
      <c r="F1598" s="726">
        <f t="shared" si="144"/>
        <v>1996846.2778977286</v>
      </c>
      <c r="G1598" s="673">
        <f t="shared" si="145"/>
        <v>2066101.062102274</v>
      </c>
      <c r="H1598" s="721">
        <f>+J1564*G1598+E1598</f>
        <v>455475.3769462856</v>
      </c>
      <c r="I1598" s="727">
        <f>+J1565*G1598+E1598</f>
        <v>455475.3769462856</v>
      </c>
      <c r="J1598" s="724">
        <f t="shared" si="146"/>
        <v>0</v>
      </c>
      <c r="K1598" s="724"/>
      <c r="L1598" s="728"/>
      <c r="M1598" s="724">
        <f t="shared" si="147"/>
        <v>0</v>
      </c>
      <c r="N1598" s="728"/>
      <c r="O1598" s="724">
        <f t="shared" si="148"/>
        <v>0</v>
      </c>
      <c r="P1598" s="724">
        <f t="shared" si="149"/>
        <v>0</v>
      </c>
      <c r="Q1598" s="674"/>
    </row>
    <row r="1599" spans="2:17">
      <c r="B1599" s="330"/>
      <c r="C1599" s="720">
        <f>IF(D1563="","-",+C1598+1)</f>
        <v>2045</v>
      </c>
      <c r="D1599" s="673">
        <f t="shared" si="150"/>
        <v>1996846.2778977286</v>
      </c>
      <c r="E1599" s="726">
        <f t="shared" si="151"/>
        <v>138509.56840909089</v>
      </c>
      <c r="F1599" s="726">
        <f t="shared" si="144"/>
        <v>1858336.7094886377</v>
      </c>
      <c r="G1599" s="673">
        <f t="shared" si="145"/>
        <v>1927591.4936931832</v>
      </c>
      <c r="H1599" s="721">
        <f>+J1564*G1599+E1599</f>
        <v>434226.2724633452</v>
      </c>
      <c r="I1599" s="727">
        <f>+J1565*G1599+E1599</f>
        <v>434226.2724633452</v>
      </c>
      <c r="J1599" s="724">
        <f t="shared" si="146"/>
        <v>0</v>
      </c>
      <c r="K1599" s="724"/>
      <c r="L1599" s="728"/>
      <c r="M1599" s="724">
        <f t="shared" si="147"/>
        <v>0</v>
      </c>
      <c r="N1599" s="728"/>
      <c r="O1599" s="724">
        <f t="shared" si="148"/>
        <v>0</v>
      </c>
      <c r="P1599" s="724">
        <f t="shared" si="149"/>
        <v>0</v>
      </c>
      <c r="Q1599" s="674"/>
    </row>
    <row r="1600" spans="2:17">
      <c r="B1600" s="330"/>
      <c r="C1600" s="720">
        <f>IF(D1563="","-",+C1599+1)</f>
        <v>2046</v>
      </c>
      <c r="D1600" s="673">
        <f t="shared" si="150"/>
        <v>1858336.7094886377</v>
      </c>
      <c r="E1600" s="726">
        <f t="shared" si="151"/>
        <v>138509.56840909089</v>
      </c>
      <c r="F1600" s="726">
        <f t="shared" si="144"/>
        <v>1719827.1410795469</v>
      </c>
      <c r="G1600" s="673">
        <f t="shared" si="145"/>
        <v>1789081.9252840923</v>
      </c>
      <c r="H1600" s="721">
        <f>+J1564*G1600+E1600</f>
        <v>412977.1679804048</v>
      </c>
      <c r="I1600" s="727">
        <f>+J1565*G1600+E1600</f>
        <v>412977.1679804048</v>
      </c>
      <c r="J1600" s="724">
        <f t="shared" si="146"/>
        <v>0</v>
      </c>
      <c r="K1600" s="724"/>
      <c r="L1600" s="728"/>
      <c r="M1600" s="724">
        <f t="shared" si="147"/>
        <v>0</v>
      </c>
      <c r="N1600" s="728"/>
      <c r="O1600" s="724">
        <f t="shared" si="148"/>
        <v>0</v>
      </c>
      <c r="P1600" s="724">
        <f t="shared" si="149"/>
        <v>0</v>
      </c>
      <c r="Q1600" s="674"/>
    </row>
    <row r="1601" spans="2:17">
      <c r="B1601" s="330"/>
      <c r="C1601" s="720">
        <f>IF(D1563="","-",+C1600+1)</f>
        <v>2047</v>
      </c>
      <c r="D1601" s="673">
        <f t="shared" si="150"/>
        <v>1719827.1410795469</v>
      </c>
      <c r="E1601" s="726">
        <f t="shared" si="151"/>
        <v>138509.56840909089</v>
      </c>
      <c r="F1601" s="726">
        <f t="shared" si="144"/>
        <v>1581317.572670456</v>
      </c>
      <c r="G1601" s="673">
        <f t="shared" si="145"/>
        <v>1650572.3568750015</v>
      </c>
      <c r="H1601" s="721">
        <f>+J1564*G1601+E1601</f>
        <v>391728.06349746441</v>
      </c>
      <c r="I1601" s="727">
        <f>+J1565*G1601+E1601</f>
        <v>391728.06349746441</v>
      </c>
      <c r="J1601" s="724">
        <f t="shared" si="146"/>
        <v>0</v>
      </c>
      <c r="K1601" s="724"/>
      <c r="L1601" s="728"/>
      <c r="M1601" s="724">
        <f t="shared" si="147"/>
        <v>0</v>
      </c>
      <c r="N1601" s="728"/>
      <c r="O1601" s="724">
        <f t="shared" si="148"/>
        <v>0</v>
      </c>
      <c r="P1601" s="724">
        <f t="shared" si="149"/>
        <v>0</v>
      </c>
      <c r="Q1601" s="674"/>
    </row>
    <row r="1602" spans="2:17">
      <c r="B1602" s="330"/>
      <c r="C1602" s="720">
        <f>IF(D1563="","-",+C1601+1)</f>
        <v>2048</v>
      </c>
      <c r="D1602" s="673">
        <f t="shared" si="150"/>
        <v>1581317.572670456</v>
      </c>
      <c r="E1602" s="726">
        <f t="shared" si="151"/>
        <v>138509.56840909089</v>
      </c>
      <c r="F1602" s="726">
        <f t="shared" si="144"/>
        <v>1442808.0042613652</v>
      </c>
      <c r="G1602" s="673">
        <f t="shared" si="145"/>
        <v>1512062.7884659106</v>
      </c>
      <c r="H1602" s="721">
        <f>+J1564*G1602+E1602</f>
        <v>370478.95901452401</v>
      </c>
      <c r="I1602" s="727">
        <f>+J1565*G1602+E1602</f>
        <v>370478.95901452401</v>
      </c>
      <c r="J1602" s="724">
        <f t="shared" si="146"/>
        <v>0</v>
      </c>
      <c r="K1602" s="724"/>
      <c r="L1602" s="728"/>
      <c r="M1602" s="724">
        <f t="shared" si="147"/>
        <v>0</v>
      </c>
      <c r="N1602" s="728"/>
      <c r="O1602" s="724">
        <f t="shared" si="148"/>
        <v>0</v>
      </c>
      <c r="P1602" s="724">
        <f t="shared" si="149"/>
        <v>0</v>
      </c>
      <c r="Q1602" s="674"/>
    </row>
    <row r="1603" spans="2:17">
      <c r="B1603" s="330"/>
      <c r="C1603" s="720">
        <f>IF(D1563="","-",+C1602+1)</f>
        <v>2049</v>
      </c>
      <c r="D1603" s="673">
        <f t="shared" si="150"/>
        <v>1442808.0042613652</v>
      </c>
      <c r="E1603" s="726">
        <f t="shared" si="151"/>
        <v>138509.56840909089</v>
      </c>
      <c r="F1603" s="726">
        <f t="shared" si="144"/>
        <v>1304298.4358522743</v>
      </c>
      <c r="G1603" s="673">
        <f t="shared" si="145"/>
        <v>1373553.2200568197</v>
      </c>
      <c r="H1603" s="721">
        <f>+J1564*G1603+E1603</f>
        <v>349229.85453158361</v>
      </c>
      <c r="I1603" s="727">
        <f>+J1565*G1603+E1603</f>
        <v>349229.85453158361</v>
      </c>
      <c r="J1603" s="724">
        <f t="shared" si="146"/>
        <v>0</v>
      </c>
      <c r="K1603" s="724"/>
      <c r="L1603" s="728"/>
      <c r="M1603" s="724">
        <f t="shared" si="147"/>
        <v>0</v>
      </c>
      <c r="N1603" s="728"/>
      <c r="O1603" s="724">
        <f t="shared" si="148"/>
        <v>0</v>
      </c>
      <c r="P1603" s="724">
        <f t="shared" si="149"/>
        <v>0</v>
      </c>
      <c r="Q1603" s="674"/>
    </row>
    <row r="1604" spans="2:17">
      <c r="B1604" s="330"/>
      <c r="C1604" s="720">
        <f>IF(D1563="","-",+C1603+1)</f>
        <v>2050</v>
      </c>
      <c r="D1604" s="673">
        <f t="shared" si="150"/>
        <v>1304298.4358522743</v>
      </c>
      <c r="E1604" s="726">
        <f t="shared" si="151"/>
        <v>138509.56840909089</v>
      </c>
      <c r="F1604" s="726">
        <f t="shared" si="144"/>
        <v>1165788.8674431834</v>
      </c>
      <c r="G1604" s="673">
        <f t="shared" si="145"/>
        <v>1235043.6516477289</v>
      </c>
      <c r="H1604" s="721">
        <f>+J1564*G1604+E1604</f>
        <v>327980.75004864321</v>
      </c>
      <c r="I1604" s="727">
        <f>+J1565*G1604+E1604</f>
        <v>327980.75004864321</v>
      </c>
      <c r="J1604" s="724">
        <f t="shared" si="146"/>
        <v>0</v>
      </c>
      <c r="K1604" s="724"/>
      <c r="L1604" s="728"/>
      <c r="M1604" s="724">
        <f t="shared" si="147"/>
        <v>0</v>
      </c>
      <c r="N1604" s="728"/>
      <c r="O1604" s="724">
        <f t="shared" si="148"/>
        <v>0</v>
      </c>
      <c r="P1604" s="724">
        <f t="shared" si="149"/>
        <v>0</v>
      </c>
      <c r="Q1604" s="674"/>
    </row>
    <row r="1605" spans="2:17">
      <c r="B1605" s="330"/>
      <c r="C1605" s="720">
        <f>IF(D1563="","-",+C1604+1)</f>
        <v>2051</v>
      </c>
      <c r="D1605" s="673">
        <f t="shared" si="150"/>
        <v>1165788.8674431834</v>
      </c>
      <c r="E1605" s="726">
        <f t="shared" si="151"/>
        <v>138509.56840909089</v>
      </c>
      <c r="F1605" s="726">
        <f t="shared" si="144"/>
        <v>1027279.2990340926</v>
      </c>
      <c r="G1605" s="673">
        <f t="shared" si="145"/>
        <v>1096534.083238638</v>
      </c>
      <c r="H1605" s="721">
        <f>+J1564*G1605+E1605</f>
        <v>306731.64556570275</v>
      </c>
      <c r="I1605" s="727">
        <f>+J1565*G1605+E1605</f>
        <v>306731.64556570275</v>
      </c>
      <c r="J1605" s="724">
        <f t="shared" si="146"/>
        <v>0</v>
      </c>
      <c r="K1605" s="724"/>
      <c r="L1605" s="728"/>
      <c r="M1605" s="724">
        <f t="shared" si="147"/>
        <v>0</v>
      </c>
      <c r="N1605" s="728"/>
      <c r="O1605" s="724">
        <f t="shared" si="148"/>
        <v>0</v>
      </c>
      <c r="P1605" s="724">
        <f t="shared" si="149"/>
        <v>0</v>
      </c>
      <c r="Q1605" s="674"/>
    </row>
    <row r="1606" spans="2:17">
      <c r="B1606" s="330"/>
      <c r="C1606" s="720">
        <f>IF(D1563="","-",+C1605+1)</f>
        <v>2052</v>
      </c>
      <c r="D1606" s="673">
        <f t="shared" si="150"/>
        <v>1027279.2990340926</v>
      </c>
      <c r="E1606" s="726">
        <f t="shared" si="151"/>
        <v>138509.56840909089</v>
      </c>
      <c r="F1606" s="726">
        <f t="shared" si="144"/>
        <v>888769.73062500171</v>
      </c>
      <c r="G1606" s="673">
        <f t="shared" si="145"/>
        <v>958024.51482954714</v>
      </c>
      <c r="H1606" s="721">
        <f>+J1564*G1606+E1606</f>
        <v>285482.54108276236</v>
      </c>
      <c r="I1606" s="727">
        <f>+J1565*G1606+E1606</f>
        <v>285482.54108276236</v>
      </c>
      <c r="J1606" s="724">
        <f t="shared" si="146"/>
        <v>0</v>
      </c>
      <c r="K1606" s="724"/>
      <c r="L1606" s="728"/>
      <c r="M1606" s="724">
        <f t="shared" si="147"/>
        <v>0</v>
      </c>
      <c r="N1606" s="728"/>
      <c r="O1606" s="724">
        <f t="shared" si="148"/>
        <v>0</v>
      </c>
      <c r="P1606" s="724">
        <f t="shared" si="149"/>
        <v>0</v>
      </c>
      <c r="Q1606" s="674"/>
    </row>
    <row r="1607" spans="2:17">
      <c r="B1607" s="330"/>
      <c r="C1607" s="720">
        <f>IF(D1563="","-",+C1606+1)</f>
        <v>2053</v>
      </c>
      <c r="D1607" s="673">
        <f t="shared" si="150"/>
        <v>888769.73062500171</v>
      </c>
      <c r="E1607" s="726">
        <f t="shared" si="151"/>
        <v>138509.56840909089</v>
      </c>
      <c r="F1607" s="726">
        <f t="shared" si="144"/>
        <v>750260.16221591085</v>
      </c>
      <c r="G1607" s="673">
        <f t="shared" si="145"/>
        <v>819514.94642045628</v>
      </c>
      <c r="H1607" s="721">
        <f>+J1564*G1607+E1607</f>
        <v>264233.43659982196</v>
      </c>
      <c r="I1607" s="727">
        <f>+J1565*G1607+E1607</f>
        <v>264233.43659982196</v>
      </c>
      <c r="J1607" s="724">
        <f t="shared" si="146"/>
        <v>0</v>
      </c>
      <c r="K1607" s="724"/>
      <c r="L1607" s="728"/>
      <c r="M1607" s="724">
        <f t="shared" si="147"/>
        <v>0</v>
      </c>
      <c r="N1607" s="728"/>
      <c r="O1607" s="724">
        <f t="shared" si="148"/>
        <v>0</v>
      </c>
      <c r="P1607" s="724">
        <f t="shared" si="149"/>
        <v>0</v>
      </c>
      <c r="Q1607" s="674"/>
    </row>
    <row r="1608" spans="2:17">
      <c r="B1608" s="330"/>
      <c r="C1608" s="720">
        <f>IF(D1563="","-",+C1607+1)</f>
        <v>2054</v>
      </c>
      <c r="D1608" s="673">
        <f t="shared" si="150"/>
        <v>750260.16221591085</v>
      </c>
      <c r="E1608" s="726">
        <f t="shared" si="151"/>
        <v>138509.56840909089</v>
      </c>
      <c r="F1608" s="726">
        <f t="shared" si="144"/>
        <v>611750.59380681999</v>
      </c>
      <c r="G1608" s="673">
        <f t="shared" si="145"/>
        <v>681005.37801136542</v>
      </c>
      <c r="H1608" s="721">
        <f>+J1564*G1608+E1608</f>
        <v>242984.33211688153</v>
      </c>
      <c r="I1608" s="727">
        <f>+J1565*G1608+E1608</f>
        <v>242984.33211688153</v>
      </c>
      <c r="J1608" s="724">
        <f t="shared" si="146"/>
        <v>0</v>
      </c>
      <c r="K1608" s="724"/>
      <c r="L1608" s="728"/>
      <c r="M1608" s="724">
        <f t="shared" si="147"/>
        <v>0</v>
      </c>
      <c r="N1608" s="728"/>
      <c r="O1608" s="724">
        <f t="shared" si="148"/>
        <v>0</v>
      </c>
      <c r="P1608" s="724">
        <f t="shared" si="149"/>
        <v>0</v>
      </c>
      <c r="Q1608" s="674"/>
    </row>
    <row r="1609" spans="2:17">
      <c r="B1609" s="330"/>
      <c r="C1609" s="720">
        <f>IF(D1563="","-",+C1608+1)</f>
        <v>2055</v>
      </c>
      <c r="D1609" s="673">
        <f t="shared" si="150"/>
        <v>611750.59380681999</v>
      </c>
      <c r="E1609" s="726">
        <f t="shared" si="151"/>
        <v>138509.56840909089</v>
      </c>
      <c r="F1609" s="726">
        <f t="shared" si="144"/>
        <v>473241.02539772913</v>
      </c>
      <c r="G1609" s="673">
        <f t="shared" si="145"/>
        <v>542495.80960227456</v>
      </c>
      <c r="H1609" s="721">
        <f>+J1564*G1609+E1609</f>
        <v>221735.22763394113</v>
      </c>
      <c r="I1609" s="727">
        <f>+J1565*G1609+E1609</f>
        <v>221735.22763394113</v>
      </c>
      <c r="J1609" s="724">
        <f t="shared" si="146"/>
        <v>0</v>
      </c>
      <c r="K1609" s="724"/>
      <c r="L1609" s="728"/>
      <c r="M1609" s="724">
        <f t="shared" si="147"/>
        <v>0</v>
      </c>
      <c r="N1609" s="728"/>
      <c r="O1609" s="724">
        <f t="shared" si="148"/>
        <v>0</v>
      </c>
      <c r="P1609" s="724">
        <f t="shared" si="149"/>
        <v>0</v>
      </c>
      <c r="Q1609" s="674"/>
    </row>
    <row r="1610" spans="2:17">
      <c r="B1610" s="330"/>
      <c r="C1610" s="720">
        <f>IF(D1563="","-",+C1609+1)</f>
        <v>2056</v>
      </c>
      <c r="D1610" s="673">
        <f t="shared" si="150"/>
        <v>473241.02539772913</v>
      </c>
      <c r="E1610" s="726">
        <f t="shared" si="151"/>
        <v>138509.56840909089</v>
      </c>
      <c r="F1610" s="726">
        <f t="shared" si="144"/>
        <v>334731.45698863827</v>
      </c>
      <c r="G1610" s="673">
        <f t="shared" si="145"/>
        <v>403986.2411931837</v>
      </c>
      <c r="H1610" s="721">
        <f>+J1564*G1610+E1610</f>
        <v>200486.12315100071</v>
      </c>
      <c r="I1610" s="727">
        <f>+J1565*G1610+E1610</f>
        <v>200486.12315100071</v>
      </c>
      <c r="J1610" s="724">
        <f t="shared" si="146"/>
        <v>0</v>
      </c>
      <c r="K1610" s="724"/>
      <c r="L1610" s="728"/>
      <c r="M1610" s="724">
        <f t="shared" si="147"/>
        <v>0</v>
      </c>
      <c r="N1610" s="728"/>
      <c r="O1610" s="724">
        <f t="shared" si="148"/>
        <v>0</v>
      </c>
      <c r="P1610" s="724">
        <f t="shared" si="149"/>
        <v>0</v>
      </c>
      <c r="Q1610" s="674"/>
    </row>
    <row r="1611" spans="2:17">
      <c r="B1611" s="330"/>
      <c r="C1611" s="720">
        <f>IF(D1563="","-",+C1610+1)</f>
        <v>2057</v>
      </c>
      <c r="D1611" s="673">
        <f t="shared" si="150"/>
        <v>334731.45698863827</v>
      </c>
      <c r="E1611" s="726">
        <f t="shared" si="151"/>
        <v>138509.56840909089</v>
      </c>
      <c r="F1611" s="726">
        <f t="shared" si="144"/>
        <v>196221.88857954738</v>
      </c>
      <c r="G1611" s="673">
        <f t="shared" si="145"/>
        <v>265476.67278409284</v>
      </c>
      <c r="H1611" s="721">
        <f>+J1564*G1611+E1611</f>
        <v>179237.01866806031</v>
      </c>
      <c r="I1611" s="727">
        <f>+J1565*G1611+E1611</f>
        <v>179237.01866806031</v>
      </c>
      <c r="J1611" s="724">
        <f t="shared" si="146"/>
        <v>0</v>
      </c>
      <c r="K1611" s="724"/>
      <c r="L1611" s="728"/>
      <c r="M1611" s="724">
        <f t="shared" si="147"/>
        <v>0</v>
      </c>
      <c r="N1611" s="728"/>
      <c r="O1611" s="724">
        <f t="shared" si="148"/>
        <v>0</v>
      </c>
      <c r="P1611" s="724">
        <f t="shared" si="149"/>
        <v>0</v>
      </c>
      <c r="Q1611" s="674"/>
    </row>
    <row r="1612" spans="2:17">
      <c r="B1612" s="330"/>
      <c r="C1612" s="720">
        <f>IF(D1563="","-",+C1611+1)</f>
        <v>2058</v>
      </c>
      <c r="D1612" s="673">
        <f t="shared" si="150"/>
        <v>196221.88857954738</v>
      </c>
      <c r="E1612" s="726">
        <f t="shared" si="151"/>
        <v>138509.56840909089</v>
      </c>
      <c r="F1612" s="726">
        <f t="shared" si="144"/>
        <v>57712.320170456485</v>
      </c>
      <c r="G1612" s="673">
        <f t="shared" si="145"/>
        <v>126967.10437500193</v>
      </c>
      <c r="H1612" s="721">
        <f>+J1564*G1612+E1612</f>
        <v>157987.91418511991</v>
      </c>
      <c r="I1612" s="727">
        <f>+J1565*G1612+E1612</f>
        <v>157987.91418511991</v>
      </c>
      <c r="J1612" s="724">
        <f t="shared" si="146"/>
        <v>0</v>
      </c>
      <c r="K1612" s="724"/>
      <c r="L1612" s="728"/>
      <c r="M1612" s="724">
        <f t="shared" si="147"/>
        <v>0</v>
      </c>
      <c r="N1612" s="728"/>
      <c r="O1612" s="724">
        <f t="shared" si="148"/>
        <v>0</v>
      </c>
      <c r="P1612" s="724">
        <f t="shared" si="149"/>
        <v>0</v>
      </c>
      <c r="Q1612" s="674"/>
    </row>
    <row r="1613" spans="2:17">
      <c r="B1613" s="330"/>
      <c r="C1613" s="720">
        <f>IF(D1563="","-",+C1612+1)</f>
        <v>2059</v>
      </c>
      <c r="D1613" s="673">
        <f t="shared" si="150"/>
        <v>57712.320170456485</v>
      </c>
      <c r="E1613" s="726">
        <f t="shared" si="151"/>
        <v>57712.320170456485</v>
      </c>
      <c r="F1613" s="726">
        <f t="shared" si="144"/>
        <v>0</v>
      </c>
      <c r="G1613" s="673">
        <f t="shared" si="145"/>
        <v>28856.160085228243</v>
      </c>
      <c r="H1613" s="721">
        <f>+J1564*G1613+E1613</f>
        <v>62139.216937735888</v>
      </c>
      <c r="I1613" s="727">
        <f>+J1565*G1613+E1613</f>
        <v>62139.216937735888</v>
      </c>
      <c r="J1613" s="724">
        <f t="shared" si="146"/>
        <v>0</v>
      </c>
      <c r="K1613" s="724"/>
      <c r="L1613" s="728"/>
      <c r="M1613" s="724">
        <f t="shared" si="147"/>
        <v>0</v>
      </c>
      <c r="N1613" s="728"/>
      <c r="O1613" s="724">
        <f t="shared" si="148"/>
        <v>0</v>
      </c>
      <c r="P1613" s="724">
        <f t="shared" si="149"/>
        <v>0</v>
      </c>
      <c r="Q1613" s="674"/>
    </row>
    <row r="1614" spans="2:17">
      <c r="B1614" s="330"/>
      <c r="C1614" s="720">
        <f>IF(D1563="","-",+C1613+1)</f>
        <v>2060</v>
      </c>
      <c r="D1614" s="673">
        <f t="shared" si="150"/>
        <v>0</v>
      </c>
      <c r="E1614" s="726">
        <f t="shared" si="151"/>
        <v>0</v>
      </c>
      <c r="F1614" s="726">
        <f t="shared" si="144"/>
        <v>0</v>
      </c>
      <c r="G1614" s="673">
        <f t="shared" si="145"/>
        <v>0</v>
      </c>
      <c r="H1614" s="721">
        <f>+J1564*G1614+E1614</f>
        <v>0</v>
      </c>
      <c r="I1614" s="727">
        <f>+J1565*G1614+E1614</f>
        <v>0</v>
      </c>
      <c r="J1614" s="724">
        <f t="shared" si="146"/>
        <v>0</v>
      </c>
      <c r="K1614" s="724"/>
      <c r="L1614" s="728"/>
      <c r="M1614" s="724">
        <f t="shared" si="147"/>
        <v>0</v>
      </c>
      <c r="N1614" s="728"/>
      <c r="O1614" s="724">
        <f t="shared" si="148"/>
        <v>0</v>
      </c>
      <c r="P1614" s="724">
        <f t="shared" si="149"/>
        <v>0</v>
      </c>
      <c r="Q1614" s="674"/>
    </row>
    <row r="1615" spans="2:17">
      <c r="B1615" s="330"/>
      <c r="C1615" s="720">
        <f>IF(D1563="","-",+C1614+1)</f>
        <v>2061</v>
      </c>
      <c r="D1615" s="673">
        <f t="shared" si="150"/>
        <v>0</v>
      </c>
      <c r="E1615" s="726">
        <f t="shared" si="151"/>
        <v>0</v>
      </c>
      <c r="F1615" s="726">
        <f t="shared" si="144"/>
        <v>0</v>
      </c>
      <c r="G1615" s="673">
        <f t="shared" si="145"/>
        <v>0</v>
      </c>
      <c r="H1615" s="721">
        <f>+J1564*G1615+E1615</f>
        <v>0</v>
      </c>
      <c r="I1615" s="727">
        <f>+J1565*G1615+E1615</f>
        <v>0</v>
      </c>
      <c r="J1615" s="724">
        <f t="shared" si="146"/>
        <v>0</v>
      </c>
      <c r="K1615" s="724"/>
      <c r="L1615" s="728"/>
      <c r="M1615" s="724">
        <f t="shared" si="147"/>
        <v>0</v>
      </c>
      <c r="N1615" s="728"/>
      <c r="O1615" s="724">
        <f t="shared" si="148"/>
        <v>0</v>
      </c>
      <c r="P1615" s="724">
        <f t="shared" si="149"/>
        <v>0</v>
      </c>
      <c r="Q1615" s="674"/>
    </row>
    <row r="1616" spans="2:17">
      <c r="B1616" s="330"/>
      <c r="C1616" s="720">
        <f>IF(D1563="","-",+C1615+1)</f>
        <v>2062</v>
      </c>
      <c r="D1616" s="673">
        <f t="shared" si="150"/>
        <v>0</v>
      </c>
      <c r="E1616" s="726">
        <f t="shared" si="151"/>
        <v>0</v>
      </c>
      <c r="F1616" s="726">
        <f t="shared" si="144"/>
        <v>0</v>
      </c>
      <c r="G1616" s="673">
        <f t="shared" si="145"/>
        <v>0</v>
      </c>
      <c r="H1616" s="721">
        <f>+J1564*G1616+E1616</f>
        <v>0</v>
      </c>
      <c r="I1616" s="727">
        <f>+J1565*G1616+E1616</f>
        <v>0</v>
      </c>
      <c r="J1616" s="724">
        <f t="shared" si="146"/>
        <v>0</v>
      </c>
      <c r="K1616" s="724"/>
      <c r="L1616" s="728"/>
      <c r="M1616" s="724">
        <f t="shared" si="147"/>
        <v>0</v>
      </c>
      <c r="N1616" s="728"/>
      <c r="O1616" s="724">
        <f t="shared" si="148"/>
        <v>0</v>
      </c>
      <c r="P1616" s="724">
        <f t="shared" si="149"/>
        <v>0</v>
      </c>
      <c r="Q1616" s="674"/>
    </row>
    <row r="1617" spans="2:17">
      <c r="B1617" s="330"/>
      <c r="C1617" s="720">
        <f>IF(D1563="","-",+C1616+1)</f>
        <v>2063</v>
      </c>
      <c r="D1617" s="673">
        <f t="shared" si="150"/>
        <v>0</v>
      </c>
      <c r="E1617" s="726">
        <f t="shared" si="151"/>
        <v>0</v>
      </c>
      <c r="F1617" s="726">
        <f t="shared" si="144"/>
        <v>0</v>
      </c>
      <c r="G1617" s="673">
        <f t="shared" si="145"/>
        <v>0</v>
      </c>
      <c r="H1617" s="721">
        <f>+J1564*G1617+E1617</f>
        <v>0</v>
      </c>
      <c r="I1617" s="727">
        <f>+J1565*G1617+E1617</f>
        <v>0</v>
      </c>
      <c r="J1617" s="724">
        <f t="shared" si="146"/>
        <v>0</v>
      </c>
      <c r="K1617" s="724"/>
      <c r="L1617" s="728"/>
      <c r="M1617" s="724">
        <f t="shared" si="147"/>
        <v>0</v>
      </c>
      <c r="N1617" s="728"/>
      <c r="O1617" s="724">
        <f t="shared" si="148"/>
        <v>0</v>
      </c>
      <c r="P1617" s="724">
        <f t="shared" si="149"/>
        <v>0</v>
      </c>
      <c r="Q1617" s="674"/>
    </row>
    <row r="1618" spans="2:17">
      <c r="B1618" s="330"/>
      <c r="C1618" s="720">
        <f>IF(D1563="","-",+C1617+1)</f>
        <v>2064</v>
      </c>
      <c r="D1618" s="673">
        <f t="shared" si="150"/>
        <v>0</v>
      </c>
      <c r="E1618" s="726">
        <f t="shared" si="151"/>
        <v>0</v>
      </c>
      <c r="F1618" s="726">
        <f t="shared" si="144"/>
        <v>0</v>
      </c>
      <c r="G1618" s="673">
        <f t="shared" si="145"/>
        <v>0</v>
      </c>
      <c r="H1618" s="721">
        <f>+J1564*G1618+E1618</f>
        <v>0</v>
      </c>
      <c r="I1618" s="727">
        <f>+J1565*G1618+E1618</f>
        <v>0</v>
      </c>
      <c r="J1618" s="724">
        <f t="shared" si="146"/>
        <v>0</v>
      </c>
      <c r="K1618" s="724"/>
      <c r="L1618" s="728"/>
      <c r="M1618" s="724">
        <f t="shared" si="147"/>
        <v>0</v>
      </c>
      <c r="N1618" s="728"/>
      <c r="O1618" s="724">
        <f t="shared" si="148"/>
        <v>0</v>
      </c>
      <c r="P1618" s="724">
        <f t="shared" si="149"/>
        <v>0</v>
      </c>
      <c r="Q1618" s="674"/>
    </row>
    <row r="1619" spans="2:17">
      <c r="B1619" s="330"/>
      <c r="C1619" s="720">
        <f>IF(D1563="","-",+C1618+1)</f>
        <v>2065</v>
      </c>
      <c r="D1619" s="673">
        <f t="shared" si="150"/>
        <v>0</v>
      </c>
      <c r="E1619" s="726">
        <f t="shared" si="151"/>
        <v>0</v>
      </c>
      <c r="F1619" s="726">
        <f t="shared" si="144"/>
        <v>0</v>
      </c>
      <c r="G1619" s="673">
        <f t="shared" si="145"/>
        <v>0</v>
      </c>
      <c r="H1619" s="721">
        <f>+J1564*G1619+E1619</f>
        <v>0</v>
      </c>
      <c r="I1619" s="727">
        <f>+J1565*G1619+E1619</f>
        <v>0</v>
      </c>
      <c r="J1619" s="724">
        <f t="shared" si="146"/>
        <v>0</v>
      </c>
      <c r="K1619" s="724"/>
      <c r="L1619" s="728"/>
      <c r="M1619" s="724">
        <f t="shared" si="147"/>
        <v>0</v>
      </c>
      <c r="N1619" s="728"/>
      <c r="O1619" s="724">
        <f t="shared" si="148"/>
        <v>0</v>
      </c>
      <c r="P1619" s="724">
        <f t="shared" si="149"/>
        <v>0</v>
      </c>
      <c r="Q1619" s="674"/>
    </row>
    <row r="1620" spans="2:17">
      <c r="B1620" s="330"/>
      <c r="C1620" s="720">
        <f>IF(D1563="","-",+C1619+1)</f>
        <v>2066</v>
      </c>
      <c r="D1620" s="673">
        <f t="shared" si="150"/>
        <v>0</v>
      </c>
      <c r="E1620" s="726">
        <f t="shared" si="151"/>
        <v>0</v>
      </c>
      <c r="F1620" s="726">
        <f t="shared" si="144"/>
        <v>0</v>
      </c>
      <c r="G1620" s="673">
        <f t="shared" si="145"/>
        <v>0</v>
      </c>
      <c r="H1620" s="721">
        <f>+J1564*G1620+E1620</f>
        <v>0</v>
      </c>
      <c r="I1620" s="727">
        <f>+J1565*G1620+E1620</f>
        <v>0</v>
      </c>
      <c r="J1620" s="724">
        <f t="shared" si="146"/>
        <v>0</v>
      </c>
      <c r="K1620" s="724"/>
      <c r="L1620" s="728"/>
      <c r="M1620" s="724">
        <f t="shared" si="147"/>
        <v>0</v>
      </c>
      <c r="N1620" s="728"/>
      <c r="O1620" s="724">
        <f t="shared" si="148"/>
        <v>0</v>
      </c>
      <c r="P1620" s="724">
        <f t="shared" si="149"/>
        <v>0</v>
      </c>
      <c r="Q1620" s="674"/>
    </row>
    <row r="1621" spans="2:17">
      <c r="B1621" s="330"/>
      <c r="C1621" s="720">
        <f>IF(D1563="","-",+C1620+1)</f>
        <v>2067</v>
      </c>
      <c r="D1621" s="673">
        <f t="shared" si="150"/>
        <v>0</v>
      </c>
      <c r="E1621" s="726">
        <f t="shared" si="151"/>
        <v>0</v>
      </c>
      <c r="F1621" s="726">
        <f t="shared" si="144"/>
        <v>0</v>
      </c>
      <c r="G1621" s="673">
        <f t="shared" si="145"/>
        <v>0</v>
      </c>
      <c r="H1621" s="721">
        <f>+J1564*G1621+E1621</f>
        <v>0</v>
      </c>
      <c r="I1621" s="727">
        <f>+J1565*G1621+E1621</f>
        <v>0</v>
      </c>
      <c r="J1621" s="724">
        <f t="shared" si="146"/>
        <v>0</v>
      </c>
      <c r="K1621" s="724"/>
      <c r="L1621" s="728"/>
      <c r="M1621" s="724">
        <f t="shared" si="147"/>
        <v>0</v>
      </c>
      <c r="N1621" s="728"/>
      <c r="O1621" s="724">
        <f t="shared" si="148"/>
        <v>0</v>
      </c>
      <c r="P1621" s="724">
        <f t="shared" si="149"/>
        <v>0</v>
      </c>
      <c r="Q1621" s="674"/>
    </row>
    <row r="1622" spans="2:17">
      <c r="B1622" s="330"/>
      <c r="C1622" s="720">
        <f>IF(D1563="","-",+C1621+1)</f>
        <v>2068</v>
      </c>
      <c r="D1622" s="673">
        <f t="shared" si="150"/>
        <v>0</v>
      </c>
      <c r="E1622" s="726">
        <f t="shared" si="151"/>
        <v>0</v>
      </c>
      <c r="F1622" s="726">
        <f t="shared" si="144"/>
        <v>0</v>
      </c>
      <c r="G1622" s="673">
        <f t="shared" si="145"/>
        <v>0</v>
      </c>
      <c r="H1622" s="721">
        <f>+J1564*G1622+E1622</f>
        <v>0</v>
      </c>
      <c r="I1622" s="727">
        <f>+J1565*G1622+E1622</f>
        <v>0</v>
      </c>
      <c r="J1622" s="724">
        <f t="shared" si="146"/>
        <v>0</v>
      </c>
      <c r="K1622" s="724"/>
      <c r="L1622" s="728"/>
      <c r="M1622" s="724">
        <f t="shared" si="147"/>
        <v>0</v>
      </c>
      <c r="N1622" s="728"/>
      <c r="O1622" s="724">
        <f t="shared" si="148"/>
        <v>0</v>
      </c>
      <c r="P1622" s="724">
        <f t="shared" si="149"/>
        <v>0</v>
      </c>
      <c r="Q1622" s="674"/>
    </row>
    <row r="1623" spans="2:17">
      <c r="B1623" s="330"/>
      <c r="C1623" s="720">
        <f>IF(D1563="","-",+C1622+1)</f>
        <v>2069</v>
      </c>
      <c r="D1623" s="673">
        <f t="shared" si="150"/>
        <v>0</v>
      </c>
      <c r="E1623" s="726">
        <f t="shared" si="151"/>
        <v>0</v>
      </c>
      <c r="F1623" s="726">
        <f t="shared" si="144"/>
        <v>0</v>
      </c>
      <c r="G1623" s="673">
        <f t="shared" si="145"/>
        <v>0</v>
      </c>
      <c r="H1623" s="721">
        <f>+J1564*G1623+E1623</f>
        <v>0</v>
      </c>
      <c r="I1623" s="727">
        <f>+J1565*G1623+E1623</f>
        <v>0</v>
      </c>
      <c r="J1623" s="724">
        <f t="shared" si="146"/>
        <v>0</v>
      </c>
      <c r="K1623" s="724"/>
      <c r="L1623" s="728"/>
      <c r="M1623" s="724">
        <f t="shared" si="147"/>
        <v>0</v>
      </c>
      <c r="N1623" s="728"/>
      <c r="O1623" s="724">
        <f t="shared" si="148"/>
        <v>0</v>
      </c>
      <c r="P1623" s="724">
        <f t="shared" si="149"/>
        <v>0</v>
      </c>
      <c r="Q1623" s="674"/>
    </row>
    <row r="1624" spans="2:17">
      <c r="B1624" s="330"/>
      <c r="C1624" s="720">
        <f>IF(D1563="","-",+C1623+1)</f>
        <v>2070</v>
      </c>
      <c r="D1624" s="673">
        <f t="shared" si="150"/>
        <v>0</v>
      </c>
      <c r="E1624" s="726">
        <f t="shared" si="151"/>
        <v>0</v>
      </c>
      <c r="F1624" s="726">
        <f t="shared" si="144"/>
        <v>0</v>
      </c>
      <c r="G1624" s="673">
        <f t="shared" si="145"/>
        <v>0</v>
      </c>
      <c r="H1624" s="721">
        <f>+J1564*G1624+E1624</f>
        <v>0</v>
      </c>
      <c r="I1624" s="727">
        <f>+J1565*G1624+E1624</f>
        <v>0</v>
      </c>
      <c r="J1624" s="724">
        <f t="shared" si="146"/>
        <v>0</v>
      </c>
      <c r="K1624" s="724"/>
      <c r="L1624" s="728"/>
      <c r="M1624" s="724">
        <f t="shared" si="147"/>
        <v>0</v>
      </c>
      <c r="N1624" s="728"/>
      <c r="O1624" s="724">
        <f t="shared" si="148"/>
        <v>0</v>
      </c>
      <c r="P1624" s="724">
        <f t="shared" si="149"/>
        <v>0</v>
      </c>
      <c r="Q1624" s="674"/>
    </row>
    <row r="1625" spans="2:17">
      <c r="B1625" s="330"/>
      <c r="C1625" s="720">
        <f>IF(D1563="","-",+C1624+1)</f>
        <v>2071</v>
      </c>
      <c r="D1625" s="673">
        <f t="shared" si="150"/>
        <v>0</v>
      </c>
      <c r="E1625" s="726">
        <f t="shared" si="151"/>
        <v>0</v>
      </c>
      <c r="F1625" s="726">
        <f t="shared" si="144"/>
        <v>0</v>
      </c>
      <c r="G1625" s="673">
        <f t="shared" si="145"/>
        <v>0</v>
      </c>
      <c r="H1625" s="721">
        <f>+J1564*G1625+E1625</f>
        <v>0</v>
      </c>
      <c r="I1625" s="727">
        <f>+J1565*G1625+E1625</f>
        <v>0</v>
      </c>
      <c r="J1625" s="724">
        <f t="shared" si="146"/>
        <v>0</v>
      </c>
      <c r="K1625" s="724"/>
      <c r="L1625" s="728"/>
      <c r="M1625" s="724">
        <f t="shared" si="147"/>
        <v>0</v>
      </c>
      <c r="N1625" s="728"/>
      <c r="O1625" s="724">
        <f t="shared" si="148"/>
        <v>0</v>
      </c>
      <c r="P1625" s="724">
        <f t="shared" si="149"/>
        <v>0</v>
      </c>
      <c r="Q1625" s="674"/>
    </row>
    <row r="1626" spans="2:17">
      <c r="B1626" s="330"/>
      <c r="C1626" s="720">
        <f>IF(D1563="","-",+C1625+1)</f>
        <v>2072</v>
      </c>
      <c r="D1626" s="673">
        <f t="shared" si="150"/>
        <v>0</v>
      </c>
      <c r="E1626" s="726">
        <f t="shared" si="151"/>
        <v>0</v>
      </c>
      <c r="F1626" s="726">
        <f t="shared" si="144"/>
        <v>0</v>
      </c>
      <c r="G1626" s="673">
        <f t="shared" si="145"/>
        <v>0</v>
      </c>
      <c r="H1626" s="721">
        <f>+J1564*G1626+E1626</f>
        <v>0</v>
      </c>
      <c r="I1626" s="727">
        <f>+J1565*G1626+E1626</f>
        <v>0</v>
      </c>
      <c r="J1626" s="724">
        <f t="shared" si="146"/>
        <v>0</v>
      </c>
      <c r="K1626" s="724"/>
      <c r="L1626" s="728"/>
      <c r="M1626" s="724">
        <f t="shared" si="147"/>
        <v>0</v>
      </c>
      <c r="N1626" s="728"/>
      <c r="O1626" s="724">
        <f t="shared" si="148"/>
        <v>0</v>
      </c>
      <c r="P1626" s="724">
        <f t="shared" si="149"/>
        <v>0</v>
      </c>
      <c r="Q1626" s="674"/>
    </row>
    <row r="1627" spans="2:17">
      <c r="B1627" s="330"/>
      <c r="C1627" s="720">
        <f>IF(D1563="","-",+C1626+1)</f>
        <v>2073</v>
      </c>
      <c r="D1627" s="673">
        <f t="shared" si="150"/>
        <v>0</v>
      </c>
      <c r="E1627" s="726">
        <f t="shared" si="151"/>
        <v>0</v>
      </c>
      <c r="F1627" s="726">
        <f t="shared" si="144"/>
        <v>0</v>
      </c>
      <c r="G1627" s="673">
        <f t="shared" si="145"/>
        <v>0</v>
      </c>
      <c r="H1627" s="721">
        <f>+J1564*G1627+E1627</f>
        <v>0</v>
      </c>
      <c r="I1627" s="727">
        <f>+J1565*G1627+E1627</f>
        <v>0</v>
      </c>
      <c r="J1627" s="724">
        <f t="shared" si="146"/>
        <v>0</v>
      </c>
      <c r="K1627" s="724"/>
      <c r="L1627" s="728"/>
      <c r="M1627" s="724">
        <f t="shared" si="147"/>
        <v>0</v>
      </c>
      <c r="N1627" s="728"/>
      <c r="O1627" s="724">
        <f t="shared" si="148"/>
        <v>0</v>
      </c>
      <c r="P1627" s="724">
        <f t="shared" si="149"/>
        <v>0</v>
      </c>
      <c r="Q1627" s="674"/>
    </row>
    <row r="1628" spans="2:17" ht="13.5" thickBot="1">
      <c r="B1628" s="330"/>
      <c r="C1628" s="730">
        <f>IF(D1563="","-",+C1627+1)</f>
        <v>2074</v>
      </c>
      <c r="D1628" s="731">
        <f t="shared" si="150"/>
        <v>0</v>
      </c>
      <c r="E1628" s="1309">
        <f t="shared" si="151"/>
        <v>0</v>
      </c>
      <c r="F1628" s="732">
        <f t="shared" si="144"/>
        <v>0</v>
      </c>
      <c r="G1628" s="731">
        <f t="shared" si="145"/>
        <v>0</v>
      </c>
      <c r="H1628" s="733">
        <f>+J1564*G1628+E1628</f>
        <v>0</v>
      </c>
      <c r="I1628" s="733">
        <f>+J1565*G1628+E1628</f>
        <v>0</v>
      </c>
      <c r="J1628" s="734">
        <f t="shared" si="146"/>
        <v>0</v>
      </c>
      <c r="K1628" s="724"/>
      <c r="L1628" s="735"/>
      <c r="M1628" s="734">
        <f t="shared" si="147"/>
        <v>0</v>
      </c>
      <c r="N1628" s="735"/>
      <c r="O1628" s="734">
        <f t="shared" si="148"/>
        <v>0</v>
      </c>
      <c r="P1628" s="734">
        <f t="shared" si="149"/>
        <v>0</v>
      </c>
      <c r="Q1628" s="674"/>
    </row>
    <row r="1629" spans="2:17">
      <c r="B1629" s="330"/>
      <c r="C1629" s="673" t="s">
        <v>288</v>
      </c>
      <c r="D1629" s="669"/>
      <c r="E1629" s="669">
        <f>SUM(E1569:E1628)</f>
        <v>6094421.0100000007</v>
      </c>
      <c r="F1629" s="669"/>
      <c r="G1629" s="669"/>
      <c r="H1629" s="669">
        <f>SUM(H1569:H1628)</f>
        <v>27053121.065006912</v>
      </c>
      <c r="I1629" s="669">
        <f>SUM(I1569:I1628)</f>
        <v>27053121.065006912</v>
      </c>
      <c r="J1629" s="669">
        <f>SUM(J1569:J1628)</f>
        <v>0</v>
      </c>
      <c r="K1629" s="669"/>
      <c r="L1629" s="669"/>
      <c r="M1629" s="669"/>
      <c r="N1629" s="669"/>
      <c r="O1629" s="669"/>
      <c r="Q1629" s="669"/>
    </row>
    <row r="1630" spans="2:17">
      <c r="B1630" s="330"/>
      <c r="D1630" s="563"/>
      <c r="E1630" s="542"/>
      <c r="F1630" s="542"/>
      <c r="G1630" s="542"/>
      <c r="H1630" s="542"/>
      <c r="I1630" s="646"/>
      <c r="J1630" s="646"/>
      <c r="K1630" s="669"/>
      <c r="L1630" s="646"/>
      <c r="M1630" s="646"/>
      <c r="N1630" s="646"/>
      <c r="O1630" s="646"/>
      <c r="Q1630" s="669"/>
    </row>
    <row r="1631" spans="2:17">
      <c r="B1631" s="330"/>
      <c r="C1631" s="542" t="s">
        <v>595</v>
      </c>
      <c r="D1631" s="563"/>
      <c r="E1631" s="542"/>
      <c r="F1631" s="542"/>
      <c r="G1631" s="542"/>
      <c r="H1631" s="542"/>
      <c r="I1631" s="646"/>
      <c r="J1631" s="646"/>
      <c r="K1631" s="669"/>
      <c r="L1631" s="646"/>
      <c r="M1631" s="646"/>
      <c r="N1631" s="646"/>
      <c r="O1631" s="646"/>
      <c r="Q1631" s="669"/>
    </row>
    <row r="1632" spans="2:17">
      <c r="B1632" s="330"/>
      <c r="D1632" s="563"/>
      <c r="E1632" s="542"/>
      <c r="F1632" s="542"/>
      <c r="G1632" s="542"/>
      <c r="H1632" s="542"/>
      <c r="I1632" s="646"/>
      <c r="J1632" s="646"/>
      <c r="K1632" s="669"/>
      <c r="L1632" s="646"/>
      <c r="M1632" s="646"/>
      <c r="N1632" s="646"/>
      <c r="O1632" s="646"/>
      <c r="Q1632" s="669"/>
    </row>
    <row r="1633" spans="1:17">
      <c r="B1633" s="330"/>
      <c r="C1633" s="576" t="s">
        <v>596</v>
      </c>
      <c r="D1633" s="673"/>
      <c r="E1633" s="673"/>
      <c r="F1633" s="673"/>
      <c r="G1633" s="673"/>
      <c r="H1633" s="669"/>
      <c r="I1633" s="669"/>
      <c r="J1633" s="674"/>
      <c r="K1633" s="674"/>
      <c r="L1633" s="674"/>
      <c r="M1633" s="674"/>
      <c r="N1633" s="674"/>
      <c r="O1633" s="674"/>
      <c r="Q1633" s="674"/>
    </row>
    <row r="1634" spans="1:17">
      <c r="B1634" s="330"/>
      <c r="C1634" s="576" t="s">
        <v>476</v>
      </c>
      <c r="D1634" s="673"/>
      <c r="E1634" s="673"/>
      <c r="F1634" s="673"/>
      <c r="G1634" s="673"/>
      <c r="H1634" s="669"/>
      <c r="I1634" s="669"/>
      <c r="J1634" s="674"/>
      <c r="K1634" s="674"/>
      <c r="L1634" s="674"/>
      <c r="M1634" s="674"/>
      <c r="N1634" s="674"/>
      <c r="O1634" s="674"/>
      <c r="Q1634" s="674"/>
    </row>
    <row r="1635" spans="1:17">
      <c r="B1635" s="330"/>
      <c r="C1635" s="576" t="s">
        <v>289</v>
      </c>
      <c r="D1635" s="673"/>
      <c r="E1635" s="673"/>
      <c r="F1635" s="673"/>
      <c r="G1635" s="673"/>
      <c r="H1635" s="669"/>
      <c r="I1635" s="669"/>
      <c r="J1635" s="674"/>
      <c r="K1635" s="674"/>
      <c r="L1635" s="674"/>
      <c r="M1635" s="674"/>
      <c r="N1635" s="674"/>
      <c r="O1635" s="674"/>
      <c r="Q1635" s="674"/>
    </row>
    <row r="1636" spans="1:17" ht="20.25">
      <c r="A1636" s="675" t="s">
        <v>764</v>
      </c>
      <c r="B1636" s="542"/>
      <c r="C1636" s="655"/>
      <c r="D1636" s="563"/>
      <c r="E1636" s="542"/>
      <c r="F1636" s="645"/>
      <c r="G1636" s="645"/>
      <c r="H1636" s="542"/>
      <c r="I1636" s="646"/>
      <c r="L1636" s="676"/>
      <c r="M1636" s="676"/>
      <c r="N1636" s="676"/>
      <c r="O1636" s="591" t="str">
        <f>"Page "&amp;SUM(Q$3:Q1636)&amp;" of "</f>
        <v xml:space="preserve">Page 20 of </v>
      </c>
      <c r="P1636" s="592">
        <f>COUNT(Q$8:Q$58212)</f>
        <v>23</v>
      </c>
      <c r="Q1636" s="756">
        <v>1</v>
      </c>
    </row>
    <row r="1637" spans="1:17">
      <c r="B1637" s="542"/>
      <c r="C1637" s="542"/>
      <c r="D1637" s="563"/>
      <c r="E1637" s="542"/>
      <c r="F1637" s="542"/>
      <c r="G1637" s="542"/>
      <c r="H1637" s="542"/>
      <c r="I1637" s="646"/>
      <c r="J1637" s="542"/>
      <c r="K1637" s="588"/>
      <c r="Q1637" s="588"/>
    </row>
    <row r="1638" spans="1:17" ht="18">
      <c r="B1638" s="595" t="s">
        <v>174</v>
      </c>
      <c r="C1638" s="677" t="s">
        <v>290</v>
      </c>
      <c r="D1638" s="563"/>
      <c r="E1638" s="542"/>
      <c r="F1638" s="542"/>
      <c r="G1638" s="542"/>
      <c r="H1638" s="542"/>
      <c r="I1638" s="646"/>
      <c r="J1638" s="646"/>
      <c r="K1638" s="669"/>
      <c r="L1638" s="646"/>
      <c r="M1638" s="646"/>
      <c r="N1638" s="646"/>
      <c r="O1638" s="646"/>
      <c r="Q1638" s="669"/>
    </row>
    <row r="1639" spans="1:17" ht="18.75">
      <c r="B1639" s="595"/>
      <c r="C1639" s="594"/>
      <c r="D1639" s="563"/>
      <c r="E1639" s="542"/>
      <c r="F1639" s="542"/>
      <c r="G1639" s="542"/>
      <c r="H1639" s="542"/>
      <c r="I1639" s="646"/>
      <c r="J1639" s="646"/>
      <c r="K1639" s="669"/>
      <c r="L1639" s="646"/>
      <c r="M1639" s="646"/>
      <c r="N1639" s="646"/>
      <c r="O1639" s="646"/>
      <c r="Q1639" s="669"/>
    </row>
    <row r="1640" spans="1:17" ht="18.75">
      <c r="B1640" s="595"/>
      <c r="C1640" s="594" t="s">
        <v>291</v>
      </c>
      <c r="D1640" s="563"/>
      <c r="E1640" s="542"/>
      <c r="F1640" s="542"/>
      <c r="G1640" s="542"/>
      <c r="H1640" s="542"/>
      <c r="I1640" s="646"/>
      <c r="J1640" s="646"/>
      <c r="K1640" s="669"/>
      <c r="L1640" s="646"/>
      <c r="M1640" s="646"/>
      <c r="N1640" s="646"/>
      <c r="O1640" s="646"/>
      <c r="Q1640" s="669"/>
    </row>
    <row r="1641" spans="1:17" ht="15.75" thickBot="1">
      <c r="B1641" s="330"/>
      <c r="C1641" s="396"/>
      <c r="D1641" s="563"/>
      <c r="E1641" s="542"/>
      <c r="F1641" s="542"/>
      <c r="G1641" s="542"/>
      <c r="H1641" s="542"/>
      <c r="I1641" s="646"/>
      <c r="J1641" s="646"/>
      <c r="K1641" s="669"/>
      <c r="L1641" s="646"/>
      <c r="M1641" s="646"/>
      <c r="N1641" s="646"/>
      <c r="O1641" s="646"/>
      <c r="Q1641" s="669"/>
    </row>
    <row r="1642" spans="1:17" ht="15.75">
      <c r="B1642" s="330"/>
      <c r="C1642" s="596" t="s">
        <v>292</v>
      </c>
      <c r="D1642" s="563"/>
      <c r="E1642" s="542"/>
      <c r="F1642" s="542"/>
      <c r="G1642" s="542"/>
      <c r="H1642" s="864"/>
      <c r="I1642" s="542" t="s">
        <v>271</v>
      </c>
      <c r="J1642" s="542"/>
      <c r="K1642" s="588"/>
      <c r="L1642" s="757">
        <f>+J1648</f>
        <v>2021</v>
      </c>
      <c r="M1642" s="739" t="s">
        <v>254</v>
      </c>
      <c r="N1642" s="739" t="s">
        <v>255</v>
      </c>
      <c r="O1642" s="740" t="s">
        <v>256</v>
      </c>
      <c r="Q1642" s="588"/>
    </row>
    <row r="1643" spans="1:17" ht="15.75">
      <c r="B1643" s="330"/>
      <c r="C1643" s="596"/>
      <c r="D1643" s="563"/>
      <c r="E1643" s="542"/>
      <c r="F1643" s="542"/>
      <c r="H1643" s="542"/>
      <c r="I1643" s="681"/>
      <c r="J1643" s="681"/>
      <c r="K1643" s="682"/>
      <c r="L1643" s="758" t="s">
        <v>455</v>
      </c>
      <c r="M1643" s="759">
        <f>VLOOKUP(J1648,C1655:P1714,10)</f>
        <v>0</v>
      </c>
      <c r="N1643" s="759">
        <f>VLOOKUP(J1648,C1655:P1714,12)</f>
        <v>0</v>
      </c>
      <c r="O1643" s="760">
        <f>+N1643-M1643</f>
        <v>0</v>
      </c>
      <c r="Q1643" s="682"/>
    </row>
    <row r="1644" spans="1:17">
      <c r="B1644" s="330"/>
      <c r="C1644" s="684" t="s">
        <v>293</v>
      </c>
      <c r="D1644" s="1703" t="s">
        <v>964</v>
      </c>
      <c r="E1644" s="1703"/>
      <c r="F1644" s="1703"/>
      <c r="G1644" s="1718"/>
      <c r="H1644" s="1718"/>
      <c r="I1644" s="1718"/>
      <c r="J1644" s="646"/>
      <c r="K1644" s="669"/>
      <c r="L1644" s="758" t="s">
        <v>456</v>
      </c>
      <c r="M1644" s="761">
        <f>VLOOKUP(J1648,C1655:P1714,6)</f>
        <v>0</v>
      </c>
      <c r="N1644" s="761">
        <f>VLOOKUP(J1648,C1655:P1714,7)</f>
        <v>0</v>
      </c>
      <c r="O1644" s="762">
        <f>+N1644-M1644</f>
        <v>0</v>
      </c>
      <c r="Q1644" s="669"/>
    </row>
    <row r="1645" spans="1:17" ht="13.5" thickBot="1">
      <c r="B1645" s="330"/>
      <c r="C1645" s="686"/>
      <c r="D1645" s="690" t="s">
        <v>114</v>
      </c>
      <c r="E1645" s="688"/>
      <c r="F1645" s="688"/>
      <c r="G1645" s="688"/>
      <c r="H1645" s="688"/>
      <c r="I1645" s="688"/>
      <c r="J1645" s="646"/>
      <c r="K1645" s="669"/>
      <c r="L1645" s="705" t="s">
        <v>457</v>
      </c>
      <c r="M1645" s="763">
        <f>+M1644-M1643</f>
        <v>0</v>
      </c>
      <c r="N1645" s="763">
        <f>+N1644-N1643</f>
        <v>0</v>
      </c>
      <c r="O1645" s="764">
        <f>+O1644-O1643</f>
        <v>0</v>
      </c>
      <c r="Q1645" s="669"/>
    </row>
    <row r="1646" spans="1:17" ht="13.5" thickBot="1">
      <c r="B1646" s="330"/>
      <c r="C1646" s="689"/>
      <c r="D1646" s="690"/>
      <c r="E1646" s="688"/>
      <c r="F1646" s="688"/>
      <c r="G1646" s="688"/>
      <c r="H1646" s="688"/>
      <c r="I1646" s="688"/>
      <c r="J1646" s="688"/>
      <c r="K1646" s="691"/>
      <c r="L1646" s="688"/>
      <c r="M1646" s="688"/>
      <c r="N1646" s="688"/>
      <c r="O1646" s="688"/>
      <c r="P1646" s="576"/>
      <c r="Q1646" s="691"/>
    </row>
    <row r="1647" spans="1:17" ht="13.5" thickBot="1">
      <c r="B1647" s="330"/>
      <c r="C1647" s="692" t="s">
        <v>294</v>
      </c>
      <c r="D1647" s="693"/>
      <c r="E1647" s="693"/>
      <c r="F1647" s="693"/>
      <c r="G1647" s="693"/>
      <c r="H1647" s="693"/>
      <c r="I1647" s="693"/>
      <c r="J1647" s="693"/>
      <c r="K1647" s="695"/>
      <c r="P1647" s="696"/>
      <c r="Q1647" s="695"/>
    </row>
    <row r="1648" spans="1:17" ht="15">
      <c r="A1648" s="1310"/>
      <c r="B1648" s="330"/>
      <c r="C1648" s="697" t="s">
        <v>272</v>
      </c>
      <c r="D1648" s="1253">
        <v>0</v>
      </c>
      <c r="E1648" s="655" t="s">
        <v>273</v>
      </c>
      <c r="H1648" s="698"/>
      <c r="I1648" s="698"/>
      <c r="J1648" s="1451">
        <f>$J$95</f>
        <v>2021</v>
      </c>
      <c r="K1648" s="586"/>
      <c r="L1648" s="1717" t="s">
        <v>274</v>
      </c>
      <c r="M1648" s="1717"/>
      <c r="N1648" s="1717"/>
      <c r="O1648" s="1717"/>
      <c r="P1648" s="588"/>
      <c r="Q1648" s="586"/>
    </row>
    <row r="1649" spans="1:17">
      <c r="A1649" s="1310"/>
      <c r="B1649" s="330"/>
      <c r="C1649" s="697" t="s">
        <v>275</v>
      </c>
      <c r="D1649" s="865">
        <v>2015</v>
      </c>
      <c r="E1649" s="697" t="s">
        <v>276</v>
      </c>
      <c r="F1649" s="698"/>
      <c r="G1649" s="698"/>
      <c r="I1649" s="330"/>
      <c r="J1649" s="867">
        <v>0</v>
      </c>
      <c r="K1649" s="700"/>
      <c r="L1649" s="669" t="s">
        <v>475</v>
      </c>
      <c r="P1649" s="588"/>
      <c r="Q1649" s="700"/>
    </row>
    <row r="1650" spans="1:17">
      <c r="A1650" s="1310"/>
      <c r="B1650" s="330"/>
      <c r="C1650" s="697" t="s">
        <v>277</v>
      </c>
      <c r="D1650" s="1253">
        <v>6</v>
      </c>
      <c r="E1650" s="697" t="s">
        <v>278</v>
      </c>
      <c r="F1650" s="698"/>
      <c r="G1650" s="698"/>
      <c r="I1650" s="330"/>
      <c r="J1650" s="701">
        <f>$F$70</f>
        <v>0.15341253840442806</v>
      </c>
      <c r="K1650" s="702"/>
      <c r="L1650" s="542" t="str">
        <f>"          INPUT TRUE-UP ARR (WITH &amp; WITHOUT INCENTIVES) FROM EACH PRIOR YEAR"</f>
        <v xml:space="preserve">          INPUT TRUE-UP ARR (WITH &amp; WITHOUT INCENTIVES) FROM EACH PRIOR YEAR</v>
      </c>
      <c r="P1650" s="588"/>
      <c r="Q1650" s="702"/>
    </row>
    <row r="1651" spans="1:17">
      <c r="A1651" s="1310"/>
      <c r="B1651" s="330"/>
      <c r="C1651" s="697" t="s">
        <v>279</v>
      </c>
      <c r="D1651" s="703">
        <f>H79</f>
        <v>44</v>
      </c>
      <c r="E1651" s="697" t="s">
        <v>280</v>
      </c>
      <c r="F1651" s="698"/>
      <c r="G1651" s="698"/>
      <c r="I1651" s="330"/>
      <c r="J1651" s="701">
        <f>IF(H1642="",J1650,$F$69)</f>
        <v>0.15341253840442806</v>
      </c>
      <c r="K1651" s="704"/>
      <c r="L1651" s="542" t="s">
        <v>362</v>
      </c>
      <c r="M1651" s="704"/>
      <c r="N1651" s="704"/>
      <c r="O1651" s="704"/>
      <c r="P1651" s="588"/>
      <c r="Q1651" s="704"/>
    </row>
    <row r="1652" spans="1:17" ht="13.5" thickBot="1">
      <c r="A1652" s="1310"/>
      <c r="B1652" s="330"/>
      <c r="C1652" s="697" t="s">
        <v>281</v>
      </c>
      <c r="D1652" s="1316" t="s">
        <v>933</v>
      </c>
      <c r="E1652" s="705" t="s">
        <v>282</v>
      </c>
      <c r="F1652" s="706"/>
      <c r="G1652" s="706"/>
      <c r="H1652" s="707"/>
      <c r="I1652" s="707"/>
      <c r="J1652" s="685">
        <f>IF(D1648=0,0,D1648/D1651)</f>
        <v>0</v>
      </c>
      <c r="K1652" s="669"/>
      <c r="L1652" s="669" t="s">
        <v>363</v>
      </c>
      <c r="M1652" s="669"/>
      <c r="N1652" s="669"/>
      <c r="O1652" s="669"/>
      <c r="P1652" s="588"/>
      <c r="Q1652" s="669"/>
    </row>
    <row r="1653" spans="1:17" ht="38.25">
      <c r="A1653" s="529"/>
      <c r="B1653" s="529"/>
      <c r="C1653" s="708" t="s">
        <v>272</v>
      </c>
      <c r="D1653" s="709" t="s">
        <v>283</v>
      </c>
      <c r="E1653" s="710" t="s">
        <v>284</v>
      </c>
      <c r="F1653" s="709" t="s">
        <v>285</v>
      </c>
      <c r="G1653" s="709" t="s">
        <v>458</v>
      </c>
      <c r="H1653" s="710" t="s">
        <v>356</v>
      </c>
      <c r="I1653" s="711" t="s">
        <v>356</v>
      </c>
      <c r="J1653" s="708" t="s">
        <v>295</v>
      </c>
      <c r="K1653" s="712"/>
      <c r="L1653" s="710" t="s">
        <v>358</v>
      </c>
      <c r="M1653" s="710" t="s">
        <v>364</v>
      </c>
      <c r="N1653" s="710" t="s">
        <v>358</v>
      </c>
      <c r="O1653" s="710" t="s">
        <v>366</v>
      </c>
      <c r="P1653" s="710" t="s">
        <v>286</v>
      </c>
      <c r="Q1653" s="713"/>
    </row>
    <row r="1654" spans="1:17" ht="13.5" thickBot="1">
      <c r="B1654" s="330"/>
      <c r="C1654" s="714" t="s">
        <v>177</v>
      </c>
      <c r="D1654" s="715" t="s">
        <v>178</v>
      </c>
      <c r="E1654" s="714" t="s">
        <v>37</v>
      </c>
      <c r="F1654" s="715" t="s">
        <v>178</v>
      </c>
      <c r="G1654" s="715" t="s">
        <v>178</v>
      </c>
      <c r="H1654" s="716" t="s">
        <v>298</v>
      </c>
      <c r="I1654" s="717" t="s">
        <v>300</v>
      </c>
      <c r="J1654" s="718" t="s">
        <v>389</v>
      </c>
      <c r="K1654" s="719"/>
      <c r="L1654" s="716" t="s">
        <v>287</v>
      </c>
      <c r="M1654" s="716" t="s">
        <v>287</v>
      </c>
      <c r="N1654" s="716" t="s">
        <v>467</v>
      </c>
      <c r="O1654" s="716" t="s">
        <v>467</v>
      </c>
      <c r="P1654" s="716" t="s">
        <v>467</v>
      </c>
      <c r="Q1654" s="586"/>
    </row>
    <row r="1655" spans="1:17">
      <c r="B1655" s="330"/>
      <c r="C1655" s="720">
        <f>IF(D1649= "","-",D1649)</f>
        <v>2015</v>
      </c>
      <c r="D1655" s="673">
        <f>+D1648</f>
        <v>0</v>
      </c>
      <c r="E1655" s="721">
        <f>+J1652/12*(12-D1650)</f>
        <v>0</v>
      </c>
      <c r="F1655" s="765">
        <f t="shared" ref="F1655:F1714" si="152">+D1655-E1655</f>
        <v>0</v>
      </c>
      <c r="G1655" s="673">
        <f t="shared" ref="G1655:G1714" si="153">+(D1655+F1655)/2</f>
        <v>0</v>
      </c>
      <c r="H1655" s="722">
        <f>+J1650*G1655+E1655</f>
        <v>0</v>
      </c>
      <c r="I1655" s="723">
        <f>+J1651*G1655+E1655</f>
        <v>0</v>
      </c>
      <c r="J1655" s="724">
        <f t="shared" ref="J1655:J1714" si="154">+I1655-H1655</f>
        <v>0</v>
      </c>
      <c r="K1655" s="724"/>
      <c r="L1655" s="728">
        <v>0</v>
      </c>
      <c r="M1655" s="766">
        <f t="shared" ref="M1655:M1714" si="155">IF(L1655&lt;&gt;0,+H1655-L1655,0)</f>
        <v>0</v>
      </c>
      <c r="N1655" s="728">
        <v>0</v>
      </c>
      <c r="O1655" s="766">
        <f t="shared" ref="O1655:O1714" si="156">IF(N1655&lt;&gt;0,+I1655-N1655,0)</f>
        <v>0</v>
      </c>
      <c r="P1655" s="766">
        <f t="shared" ref="P1655:P1714" si="157">+O1655-M1655</f>
        <v>0</v>
      </c>
      <c r="Q1655" s="674"/>
    </row>
    <row r="1656" spans="1:17">
      <c r="B1656" s="330"/>
      <c r="C1656" s="720">
        <f>IF(D1649="","-",+C1655+1)</f>
        <v>2016</v>
      </c>
      <c r="D1656" s="673">
        <f t="shared" ref="D1656:D1714" si="158">F1655</f>
        <v>0</v>
      </c>
      <c r="E1656" s="726">
        <f>IF(D1656&gt;$J$1566,$J$1566,D1656)</f>
        <v>0</v>
      </c>
      <c r="F1656" s="726">
        <f t="shared" si="152"/>
        <v>0</v>
      </c>
      <c r="G1656" s="673">
        <f t="shared" si="153"/>
        <v>0</v>
      </c>
      <c r="H1656" s="721">
        <f>+J1650*G1656+E1656</f>
        <v>0</v>
      </c>
      <c r="I1656" s="727">
        <f>+J1651*G1656+E1656</f>
        <v>0</v>
      </c>
      <c r="J1656" s="724">
        <f t="shared" si="154"/>
        <v>0</v>
      </c>
      <c r="K1656" s="724"/>
      <c r="L1656" s="728">
        <v>935319</v>
      </c>
      <c r="M1656" s="724">
        <f t="shared" si="155"/>
        <v>-935319</v>
      </c>
      <c r="N1656" s="728">
        <v>935319</v>
      </c>
      <c r="O1656" s="724">
        <f t="shared" si="156"/>
        <v>-935319</v>
      </c>
      <c r="P1656" s="724">
        <f t="shared" si="157"/>
        <v>0</v>
      </c>
      <c r="Q1656" s="674"/>
    </row>
    <row r="1657" spans="1:17">
      <c r="B1657" s="330"/>
      <c r="C1657" s="720">
        <f>IF(D1649="","-",+C1656+1)</f>
        <v>2017</v>
      </c>
      <c r="D1657" s="673">
        <f t="shared" si="158"/>
        <v>0</v>
      </c>
      <c r="E1657" s="726">
        <f t="shared" ref="E1657:E1714" si="159">IF(D1657&gt;$J$1566,$J$1566,D1657)</f>
        <v>0</v>
      </c>
      <c r="F1657" s="726">
        <f t="shared" si="152"/>
        <v>0</v>
      </c>
      <c r="G1657" s="673">
        <f t="shared" si="153"/>
        <v>0</v>
      </c>
      <c r="H1657" s="721">
        <f>+J1650*G1657+E1657</f>
        <v>0</v>
      </c>
      <c r="I1657" s="727">
        <f>+J1651*G1657+E1657</f>
        <v>0</v>
      </c>
      <c r="J1657" s="724">
        <f t="shared" si="154"/>
        <v>0</v>
      </c>
      <c r="K1657" s="724"/>
      <c r="L1657" s="728">
        <v>1027649</v>
      </c>
      <c r="M1657" s="724">
        <f t="shared" si="155"/>
        <v>-1027649</v>
      </c>
      <c r="N1657" s="728">
        <v>1027649</v>
      </c>
      <c r="O1657" s="724">
        <f t="shared" si="156"/>
        <v>-1027649</v>
      </c>
      <c r="P1657" s="724">
        <f t="shared" si="157"/>
        <v>0</v>
      </c>
      <c r="Q1657" s="674"/>
    </row>
    <row r="1658" spans="1:17">
      <c r="B1658" s="330"/>
      <c r="C1658" s="720">
        <f>IF(D1649="","-",+C1657+1)</f>
        <v>2018</v>
      </c>
      <c r="D1658" s="1455">
        <f t="shared" si="158"/>
        <v>0</v>
      </c>
      <c r="E1658" s="726">
        <f t="shared" si="159"/>
        <v>0</v>
      </c>
      <c r="F1658" s="726">
        <f t="shared" si="152"/>
        <v>0</v>
      </c>
      <c r="G1658" s="673">
        <f t="shared" si="153"/>
        <v>0</v>
      </c>
      <c r="H1658" s="721">
        <f>+J1650*G1658+E1658</f>
        <v>0</v>
      </c>
      <c r="I1658" s="727">
        <f>+J1651*G1658+E1658</f>
        <v>0</v>
      </c>
      <c r="J1658" s="724">
        <f t="shared" si="154"/>
        <v>0</v>
      </c>
      <c r="K1658" s="724"/>
      <c r="L1658" s="728">
        <v>0</v>
      </c>
      <c r="M1658" s="724">
        <f t="shared" si="155"/>
        <v>0</v>
      </c>
      <c r="N1658" s="728">
        <v>0</v>
      </c>
      <c r="O1658" s="724">
        <f t="shared" si="156"/>
        <v>0</v>
      </c>
      <c r="P1658" s="724">
        <f t="shared" si="157"/>
        <v>0</v>
      </c>
      <c r="Q1658" s="674"/>
    </row>
    <row r="1659" spans="1:17">
      <c r="B1659" s="330"/>
      <c r="C1659" s="720">
        <f>IF(D1649="","-",+C1658+1)</f>
        <v>2019</v>
      </c>
      <c r="D1659" s="1269">
        <f t="shared" si="158"/>
        <v>0</v>
      </c>
      <c r="E1659" s="726">
        <f t="shared" si="159"/>
        <v>0</v>
      </c>
      <c r="F1659" s="726">
        <f t="shared" si="152"/>
        <v>0</v>
      </c>
      <c r="G1659" s="673">
        <f t="shared" si="153"/>
        <v>0</v>
      </c>
      <c r="H1659" s="721">
        <f>+J1650*G1659+E1659</f>
        <v>0</v>
      </c>
      <c r="I1659" s="727">
        <f>+J1651*G1659+E1659</f>
        <v>0</v>
      </c>
      <c r="J1659" s="724">
        <f t="shared" si="154"/>
        <v>0</v>
      </c>
      <c r="K1659" s="724"/>
      <c r="L1659" s="728">
        <v>0</v>
      </c>
      <c r="M1659" s="724">
        <f t="shared" si="155"/>
        <v>0</v>
      </c>
      <c r="N1659" s="728">
        <v>0</v>
      </c>
      <c r="O1659" s="724">
        <f t="shared" si="156"/>
        <v>0</v>
      </c>
      <c r="P1659" s="724">
        <f t="shared" si="157"/>
        <v>0</v>
      </c>
      <c r="Q1659" s="674"/>
    </row>
    <row r="1660" spans="1:17">
      <c r="B1660" s="330"/>
      <c r="C1660" s="720">
        <f>IF(D1649="","-",+C1659+1)</f>
        <v>2020</v>
      </c>
      <c r="D1660" s="1269">
        <f t="shared" si="158"/>
        <v>0</v>
      </c>
      <c r="E1660" s="726">
        <f t="shared" si="159"/>
        <v>0</v>
      </c>
      <c r="F1660" s="726">
        <f t="shared" si="152"/>
        <v>0</v>
      </c>
      <c r="G1660" s="673">
        <f t="shared" si="153"/>
        <v>0</v>
      </c>
      <c r="H1660" s="721">
        <f>+J1650*G1660+E1660</f>
        <v>0</v>
      </c>
      <c r="I1660" s="727">
        <f>+J1651*G1660+E1660</f>
        <v>0</v>
      </c>
      <c r="J1660" s="724">
        <f t="shared" si="154"/>
        <v>0</v>
      </c>
      <c r="K1660" s="724"/>
      <c r="L1660" s="728">
        <v>0</v>
      </c>
      <c r="M1660" s="724">
        <f t="shared" si="155"/>
        <v>0</v>
      </c>
      <c r="N1660" s="728">
        <v>0</v>
      </c>
      <c r="O1660" s="724">
        <f t="shared" si="156"/>
        <v>0</v>
      </c>
      <c r="P1660" s="724">
        <f t="shared" si="157"/>
        <v>0</v>
      </c>
      <c r="Q1660" s="674"/>
    </row>
    <row r="1661" spans="1:17">
      <c r="B1661" s="330"/>
      <c r="C1661" s="720">
        <f>IF(D1649="","-",+C1660+1)</f>
        <v>2021</v>
      </c>
      <c r="D1661" s="1269">
        <f t="shared" si="158"/>
        <v>0</v>
      </c>
      <c r="E1661" s="726">
        <f t="shared" si="159"/>
        <v>0</v>
      </c>
      <c r="F1661" s="726">
        <f t="shared" si="152"/>
        <v>0</v>
      </c>
      <c r="G1661" s="673">
        <f t="shared" si="153"/>
        <v>0</v>
      </c>
      <c r="H1661" s="721">
        <f>+J1650*G1661+E1661</f>
        <v>0</v>
      </c>
      <c r="I1661" s="727">
        <f>+J1651*G1661+E1661</f>
        <v>0</v>
      </c>
      <c r="J1661" s="724">
        <f t="shared" si="154"/>
        <v>0</v>
      </c>
      <c r="K1661" s="724"/>
      <c r="L1661" s="728">
        <v>0</v>
      </c>
      <c r="M1661" s="724">
        <f t="shared" si="155"/>
        <v>0</v>
      </c>
      <c r="N1661" s="728">
        <v>0</v>
      </c>
      <c r="O1661" s="724">
        <f t="shared" si="156"/>
        <v>0</v>
      </c>
      <c r="P1661" s="724">
        <f t="shared" si="157"/>
        <v>0</v>
      </c>
      <c r="Q1661" s="674"/>
    </row>
    <row r="1662" spans="1:17">
      <c r="B1662" s="330"/>
      <c r="C1662" s="720">
        <f>IF(D1649="","-",+C1661+1)</f>
        <v>2022</v>
      </c>
      <c r="D1662" s="673">
        <f t="shared" si="158"/>
        <v>0</v>
      </c>
      <c r="E1662" s="726">
        <f t="shared" si="159"/>
        <v>0</v>
      </c>
      <c r="F1662" s="726">
        <f t="shared" si="152"/>
        <v>0</v>
      </c>
      <c r="G1662" s="673">
        <f t="shared" si="153"/>
        <v>0</v>
      </c>
      <c r="H1662" s="721">
        <f>+J1650*G1662+E1662</f>
        <v>0</v>
      </c>
      <c r="I1662" s="727">
        <f>+J1651*G1662+E1662</f>
        <v>0</v>
      </c>
      <c r="J1662" s="724">
        <f t="shared" si="154"/>
        <v>0</v>
      </c>
      <c r="K1662" s="724"/>
      <c r="L1662" s="728">
        <v>0</v>
      </c>
      <c r="M1662" s="724">
        <f t="shared" si="155"/>
        <v>0</v>
      </c>
      <c r="N1662" s="728">
        <v>0</v>
      </c>
      <c r="O1662" s="724">
        <f t="shared" si="156"/>
        <v>0</v>
      </c>
      <c r="P1662" s="724">
        <f t="shared" si="157"/>
        <v>0</v>
      </c>
      <c r="Q1662" s="674"/>
    </row>
    <row r="1663" spans="1:17">
      <c r="B1663" s="330"/>
      <c r="C1663" s="720">
        <f>IF(D1649="","-",+C1662+1)</f>
        <v>2023</v>
      </c>
      <c r="D1663" s="673">
        <f t="shared" si="158"/>
        <v>0</v>
      </c>
      <c r="E1663" s="726">
        <f t="shared" si="159"/>
        <v>0</v>
      </c>
      <c r="F1663" s="726">
        <f t="shared" si="152"/>
        <v>0</v>
      </c>
      <c r="G1663" s="673">
        <f t="shared" si="153"/>
        <v>0</v>
      </c>
      <c r="H1663" s="721">
        <f>+J1650*G1663+E1663</f>
        <v>0</v>
      </c>
      <c r="I1663" s="727">
        <f>+J1651*G1663+E1663</f>
        <v>0</v>
      </c>
      <c r="J1663" s="724">
        <f t="shared" si="154"/>
        <v>0</v>
      </c>
      <c r="K1663" s="724"/>
      <c r="L1663" s="728">
        <v>0</v>
      </c>
      <c r="M1663" s="724">
        <f t="shared" si="155"/>
        <v>0</v>
      </c>
      <c r="N1663" s="728">
        <v>0</v>
      </c>
      <c r="O1663" s="724">
        <f t="shared" si="156"/>
        <v>0</v>
      </c>
      <c r="P1663" s="724">
        <f t="shared" si="157"/>
        <v>0</v>
      </c>
      <c r="Q1663" s="674"/>
    </row>
    <row r="1664" spans="1:17">
      <c r="B1664" s="330"/>
      <c r="C1664" s="1291">
        <f>IF(D1649="","-",+C1663+1)</f>
        <v>2024</v>
      </c>
      <c r="D1664" s="673">
        <f t="shared" si="158"/>
        <v>0</v>
      </c>
      <c r="E1664" s="726">
        <f t="shared" si="159"/>
        <v>0</v>
      </c>
      <c r="F1664" s="726">
        <f t="shared" si="152"/>
        <v>0</v>
      </c>
      <c r="G1664" s="673">
        <f t="shared" si="153"/>
        <v>0</v>
      </c>
      <c r="H1664" s="721">
        <f>+J1650*G1664+E1664</f>
        <v>0</v>
      </c>
      <c r="I1664" s="727">
        <f>+J1651*G1664+E1664</f>
        <v>0</v>
      </c>
      <c r="J1664" s="724">
        <f t="shared" si="154"/>
        <v>0</v>
      </c>
      <c r="K1664" s="724"/>
      <c r="L1664" s="728">
        <v>0</v>
      </c>
      <c r="M1664" s="724">
        <f t="shared" si="155"/>
        <v>0</v>
      </c>
      <c r="N1664" s="728">
        <v>0</v>
      </c>
      <c r="O1664" s="724">
        <f t="shared" si="156"/>
        <v>0</v>
      </c>
      <c r="P1664" s="724">
        <f t="shared" si="157"/>
        <v>0</v>
      </c>
      <c r="Q1664" s="674"/>
    </row>
    <row r="1665" spans="2:17">
      <c r="B1665" s="330"/>
      <c r="C1665" s="720">
        <f>IF(D1649="","-",+C1664+1)</f>
        <v>2025</v>
      </c>
      <c r="D1665" s="673">
        <f t="shared" si="158"/>
        <v>0</v>
      </c>
      <c r="E1665" s="726">
        <f t="shared" si="159"/>
        <v>0</v>
      </c>
      <c r="F1665" s="726">
        <f t="shared" si="152"/>
        <v>0</v>
      </c>
      <c r="G1665" s="673">
        <f t="shared" si="153"/>
        <v>0</v>
      </c>
      <c r="H1665" s="721">
        <f>+J1650*G1665+E1665</f>
        <v>0</v>
      </c>
      <c r="I1665" s="727">
        <f>+J1651*G1665+E1665</f>
        <v>0</v>
      </c>
      <c r="J1665" s="724">
        <f t="shared" si="154"/>
        <v>0</v>
      </c>
      <c r="K1665" s="724"/>
      <c r="L1665" s="728"/>
      <c r="M1665" s="724">
        <f t="shared" si="155"/>
        <v>0</v>
      </c>
      <c r="N1665" s="728"/>
      <c r="O1665" s="724">
        <f t="shared" si="156"/>
        <v>0</v>
      </c>
      <c r="P1665" s="724">
        <f t="shared" si="157"/>
        <v>0</v>
      </c>
      <c r="Q1665" s="674"/>
    </row>
    <row r="1666" spans="2:17">
      <c r="B1666" s="330"/>
      <c r="C1666" s="720">
        <f>IF(D1649="","-",+C1665+1)</f>
        <v>2026</v>
      </c>
      <c r="D1666" s="673">
        <f t="shared" si="158"/>
        <v>0</v>
      </c>
      <c r="E1666" s="726">
        <f t="shared" si="159"/>
        <v>0</v>
      </c>
      <c r="F1666" s="726">
        <f t="shared" si="152"/>
        <v>0</v>
      </c>
      <c r="G1666" s="673">
        <f t="shared" si="153"/>
        <v>0</v>
      </c>
      <c r="H1666" s="721">
        <f>+J1650*G1666+E1666</f>
        <v>0</v>
      </c>
      <c r="I1666" s="727">
        <f>+J1651*G1666+E1666</f>
        <v>0</v>
      </c>
      <c r="J1666" s="724">
        <f t="shared" si="154"/>
        <v>0</v>
      </c>
      <c r="K1666" s="724"/>
      <c r="L1666" s="728"/>
      <c r="M1666" s="724">
        <f t="shared" si="155"/>
        <v>0</v>
      </c>
      <c r="N1666" s="728"/>
      <c r="O1666" s="724">
        <f t="shared" si="156"/>
        <v>0</v>
      </c>
      <c r="P1666" s="724">
        <f t="shared" si="157"/>
        <v>0</v>
      </c>
      <c r="Q1666" s="674"/>
    </row>
    <row r="1667" spans="2:17">
      <c r="B1667" s="330"/>
      <c r="C1667" s="720">
        <f>IF(D1649="","-",+C1666+1)</f>
        <v>2027</v>
      </c>
      <c r="D1667" s="673">
        <f t="shared" si="158"/>
        <v>0</v>
      </c>
      <c r="E1667" s="726">
        <f t="shared" si="159"/>
        <v>0</v>
      </c>
      <c r="F1667" s="726">
        <f t="shared" si="152"/>
        <v>0</v>
      </c>
      <c r="G1667" s="673">
        <f t="shared" si="153"/>
        <v>0</v>
      </c>
      <c r="H1667" s="721">
        <f>+J1650*G1667+E1667</f>
        <v>0</v>
      </c>
      <c r="I1667" s="727">
        <f>+J1651*G1667+E1667</f>
        <v>0</v>
      </c>
      <c r="J1667" s="724">
        <f t="shared" si="154"/>
        <v>0</v>
      </c>
      <c r="K1667" s="724"/>
      <c r="L1667" s="728"/>
      <c r="M1667" s="724">
        <f t="shared" si="155"/>
        <v>0</v>
      </c>
      <c r="N1667" s="728"/>
      <c r="O1667" s="724">
        <f t="shared" si="156"/>
        <v>0</v>
      </c>
      <c r="P1667" s="724">
        <f t="shared" si="157"/>
        <v>0</v>
      </c>
      <c r="Q1667" s="674"/>
    </row>
    <row r="1668" spans="2:17">
      <c r="B1668" s="330"/>
      <c r="C1668" s="720">
        <f>IF(D1649="","-",+C1667+1)</f>
        <v>2028</v>
      </c>
      <c r="D1668" s="673">
        <f t="shared" si="158"/>
        <v>0</v>
      </c>
      <c r="E1668" s="726">
        <f t="shared" si="159"/>
        <v>0</v>
      </c>
      <c r="F1668" s="726">
        <f t="shared" si="152"/>
        <v>0</v>
      </c>
      <c r="G1668" s="673">
        <f t="shared" si="153"/>
        <v>0</v>
      </c>
      <c r="H1668" s="721">
        <f>+J1650*G1668+E1668</f>
        <v>0</v>
      </c>
      <c r="I1668" s="727">
        <f>+J1651*G1668+E1668</f>
        <v>0</v>
      </c>
      <c r="J1668" s="724">
        <f t="shared" si="154"/>
        <v>0</v>
      </c>
      <c r="K1668" s="724"/>
      <c r="L1668" s="728"/>
      <c r="M1668" s="724">
        <f t="shared" si="155"/>
        <v>0</v>
      </c>
      <c r="N1668" s="728"/>
      <c r="O1668" s="724">
        <f t="shared" si="156"/>
        <v>0</v>
      </c>
      <c r="P1668" s="724">
        <f t="shared" si="157"/>
        <v>0</v>
      </c>
      <c r="Q1668" s="674"/>
    </row>
    <row r="1669" spans="2:17">
      <c r="B1669" s="330"/>
      <c r="C1669" s="720">
        <f>IF(D1649="","-",+C1668+1)</f>
        <v>2029</v>
      </c>
      <c r="D1669" s="673">
        <f t="shared" si="158"/>
        <v>0</v>
      </c>
      <c r="E1669" s="726">
        <f t="shared" si="159"/>
        <v>0</v>
      </c>
      <c r="F1669" s="726">
        <f t="shared" si="152"/>
        <v>0</v>
      </c>
      <c r="G1669" s="673">
        <f t="shared" si="153"/>
        <v>0</v>
      </c>
      <c r="H1669" s="721">
        <f>+J1650*G1669+E1669</f>
        <v>0</v>
      </c>
      <c r="I1669" s="727">
        <f>+J1651*G1669+E1669</f>
        <v>0</v>
      </c>
      <c r="J1669" s="724">
        <f t="shared" si="154"/>
        <v>0</v>
      </c>
      <c r="K1669" s="724"/>
      <c r="L1669" s="728"/>
      <c r="M1669" s="724">
        <f t="shared" si="155"/>
        <v>0</v>
      </c>
      <c r="N1669" s="728"/>
      <c r="O1669" s="724">
        <f t="shared" si="156"/>
        <v>0</v>
      </c>
      <c r="P1669" s="724">
        <f t="shared" si="157"/>
        <v>0</v>
      </c>
      <c r="Q1669" s="674"/>
    </row>
    <row r="1670" spans="2:17">
      <c r="B1670" s="330"/>
      <c r="C1670" s="720">
        <f>IF(D1649="","-",+C1669+1)</f>
        <v>2030</v>
      </c>
      <c r="D1670" s="673">
        <f t="shared" si="158"/>
        <v>0</v>
      </c>
      <c r="E1670" s="726">
        <f t="shared" si="159"/>
        <v>0</v>
      </c>
      <c r="F1670" s="726">
        <f t="shared" si="152"/>
        <v>0</v>
      </c>
      <c r="G1670" s="673">
        <f t="shared" si="153"/>
        <v>0</v>
      </c>
      <c r="H1670" s="721">
        <f>+J1650*G1670+E1670</f>
        <v>0</v>
      </c>
      <c r="I1670" s="727">
        <f>+J1651*G1670+E1670</f>
        <v>0</v>
      </c>
      <c r="J1670" s="724">
        <f t="shared" si="154"/>
        <v>0</v>
      </c>
      <c r="K1670" s="724"/>
      <c r="L1670" s="728"/>
      <c r="M1670" s="724">
        <f t="shared" si="155"/>
        <v>0</v>
      </c>
      <c r="N1670" s="728"/>
      <c r="O1670" s="724">
        <f t="shared" si="156"/>
        <v>0</v>
      </c>
      <c r="P1670" s="724">
        <f t="shared" si="157"/>
        <v>0</v>
      </c>
      <c r="Q1670" s="674"/>
    </row>
    <row r="1671" spans="2:17">
      <c r="B1671" s="330"/>
      <c r="C1671" s="720">
        <f>IF(D1649="","-",+C1670+1)</f>
        <v>2031</v>
      </c>
      <c r="D1671" s="673">
        <f t="shared" si="158"/>
        <v>0</v>
      </c>
      <c r="E1671" s="726">
        <f t="shared" si="159"/>
        <v>0</v>
      </c>
      <c r="F1671" s="726">
        <f t="shared" si="152"/>
        <v>0</v>
      </c>
      <c r="G1671" s="673">
        <f t="shared" si="153"/>
        <v>0</v>
      </c>
      <c r="H1671" s="721">
        <f>+J1650*G1671+E1671</f>
        <v>0</v>
      </c>
      <c r="I1671" s="727">
        <f>+J1651*G1671+E1671</f>
        <v>0</v>
      </c>
      <c r="J1671" s="724">
        <f t="shared" si="154"/>
        <v>0</v>
      </c>
      <c r="K1671" s="724"/>
      <c r="L1671" s="728"/>
      <c r="M1671" s="724">
        <f t="shared" si="155"/>
        <v>0</v>
      </c>
      <c r="N1671" s="728"/>
      <c r="O1671" s="724">
        <f t="shared" si="156"/>
        <v>0</v>
      </c>
      <c r="P1671" s="724">
        <f t="shared" si="157"/>
        <v>0</v>
      </c>
      <c r="Q1671" s="674"/>
    </row>
    <row r="1672" spans="2:17">
      <c r="B1672" s="330"/>
      <c r="C1672" s="720">
        <f>IF(D1649="","-",+C1671+1)</f>
        <v>2032</v>
      </c>
      <c r="D1672" s="673">
        <f t="shared" si="158"/>
        <v>0</v>
      </c>
      <c r="E1672" s="726">
        <f t="shared" si="159"/>
        <v>0</v>
      </c>
      <c r="F1672" s="726">
        <f t="shared" si="152"/>
        <v>0</v>
      </c>
      <c r="G1672" s="673">
        <f t="shared" si="153"/>
        <v>0</v>
      </c>
      <c r="H1672" s="721">
        <f>+J1650*G1672+E1672</f>
        <v>0</v>
      </c>
      <c r="I1672" s="727">
        <f>+J1651*G1672+E1672</f>
        <v>0</v>
      </c>
      <c r="J1672" s="724">
        <f t="shared" si="154"/>
        <v>0</v>
      </c>
      <c r="K1672" s="724"/>
      <c r="L1672" s="728"/>
      <c r="M1672" s="724">
        <f t="shared" si="155"/>
        <v>0</v>
      </c>
      <c r="N1672" s="728"/>
      <c r="O1672" s="724">
        <f t="shared" si="156"/>
        <v>0</v>
      </c>
      <c r="P1672" s="724">
        <f t="shared" si="157"/>
        <v>0</v>
      </c>
      <c r="Q1672" s="674"/>
    </row>
    <row r="1673" spans="2:17">
      <c r="B1673" s="330"/>
      <c r="C1673" s="720">
        <f>IF(D1649="","-",+C1672+1)</f>
        <v>2033</v>
      </c>
      <c r="D1673" s="673">
        <f t="shared" si="158"/>
        <v>0</v>
      </c>
      <c r="E1673" s="726">
        <f t="shared" si="159"/>
        <v>0</v>
      </c>
      <c r="F1673" s="726">
        <f t="shared" si="152"/>
        <v>0</v>
      </c>
      <c r="G1673" s="673">
        <f t="shared" si="153"/>
        <v>0</v>
      </c>
      <c r="H1673" s="721">
        <f>+J1650*G1673+E1673</f>
        <v>0</v>
      </c>
      <c r="I1673" s="727">
        <f>+J1651*G1673+E1673</f>
        <v>0</v>
      </c>
      <c r="J1673" s="724">
        <f t="shared" si="154"/>
        <v>0</v>
      </c>
      <c r="K1673" s="724"/>
      <c r="L1673" s="728"/>
      <c r="M1673" s="724">
        <f t="shared" si="155"/>
        <v>0</v>
      </c>
      <c r="N1673" s="728"/>
      <c r="O1673" s="724">
        <f t="shared" si="156"/>
        <v>0</v>
      </c>
      <c r="P1673" s="724">
        <f t="shared" si="157"/>
        <v>0</v>
      </c>
      <c r="Q1673" s="674"/>
    </row>
    <row r="1674" spans="2:17">
      <c r="B1674" s="330"/>
      <c r="C1674" s="720">
        <f>IF(D1649="","-",+C1673+1)</f>
        <v>2034</v>
      </c>
      <c r="D1674" s="673">
        <f t="shared" si="158"/>
        <v>0</v>
      </c>
      <c r="E1674" s="726">
        <f t="shared" si="159"/>
        <v>0</v>
      </c>
      <c r="F1674" s="726">
        <f t="shared" si="152"/>
        <v>0</v>
      </c>
      <c r="G1674" s="673">
        <f t="shared" si="153"/>
        <v>0</v>
      </c>
      <c r="H1674" s="721">
        <f>+J1650*G1674+E1674</f>
        <v>0</v>
      </c>
      <c r="I1674" s="727">
        <f>+J1651*G1674+E1674</f>
        <v>0</v>
      </c>
      <c r="J1674" s="724">
        <f t="shared" si="154"/>
        <v>0</v>
      </c>
      <c r="K1674" s="724"/>
      <c r="L1674" s="728"/>
      <c r="M1674" s="724">
        <f t="shared" si="155"/>
        <v>0</v>
      </c>
      <c r="N1674" s="728"/>
      <c r="O1674" s="724">
        <f t="shared" si="156"/>
        <v>0</v>
      </c>
      <c r="P1674" s="724">
        <f t="shared" si="157"/>
        <v>0</v>
      </c>
      <c r="Q1674" s="674"/>
    </row>
    <row r="1675" spans="2:17">
      <c r="B1675" s="330"/>
      <c r="C1675" s="720">
        <f>IF(D1649="","-",+C1674+1)</f>
        <v>2035</v>
      </c>
      <c r="D1675" s="673">
        <f t="shared" si="158"/>
        <v>0</v>
      </c>
      <c r="E1675" s="726">
        <f t="shared" si="159"/>
        <v>0</v>
      </c>
      <c r="F1675" s="726">
        <f t="shared" si="152"/>
        <v>0</v>
      </c>
      <c r="G1675" s="673">
        <f t="shared" si="153"/>
        <v>0</v>
      </c>
      <c r="H1675" s="721">
        <f>+J1650*G1675+E1675</f>
        <v>0</v>
      </c>
      <c r="I1675" s="727">
        <f>+J1651*G1675+E1675</f>
        <v>0</v>
      </c>
      <c r="J1675" s="724">
        <f t="shared" si="154"/>
        <v>0</v>
      </c>
      <c r="K1675" s="724"/>
      <c r="L1675" s="728"/>
      <c r="M1675" s="724">
        <f t="shared" si="155"/>
        <v>0</v>
      </c>
      <c r="N1675" s="728"/>
      <c r="O1675" s="724">
        <f t="shared" si="156"/>
        <v>0</v>
      </c>
      <c r="P1675" s="724">
        <f t="shared" si="157"/>
        <v>0</v>
      </c>
      <c r="Q1675" s="674"/>
    </row>
    <row r="1676" spans="2:17">
      <c r="B1676" s="330"/>
      <c r="C1676" s="720">
        <f>IF(D1649="","-",+C1675+1)</f>
        <v>2036</v>
      </c>
      <c r="D1676" s="673">
        <f t="shared" si="158"/>
        <v>0</v>
      </c>
      <c r="E1676" s="726">
        <f t="shared" si="159"/>
        <v>0</v>
      </c>
      <c r="F1676" s="726">
        <f t="shared" si="152"/>
        <v>0</v>
      </c>
      <c r="G1676" s="673">
        <f t="shared" si="153"/>
        <v>0</v>
      </c>
      <c r="H1676" s="721">
        <f>+J1650*G1676+E1676</f>
        <v>0</v>
      </c>
      <c r="I1676" s="727">
        <f>+J1651*G1676+E1676</f>
        <v>0</v>
      </c>
      <c r="J1676" s="724">
        <f t="shared" si="154"/>
        <v>0</v>
      </c>
      <c r="K1676" s="724"/>
      <c r="L1676" s="728"/>
      <c r="M1676" s="724">
        <f t="shared" si="155"/>
        <v>0</v>
      </c>
      <c r="N1676" s="728"/>
      <c r="O1676" s="724">
        <f t="shared" si="156"/>
        <v>0</v>
      </c>
      <c r="P1676" s="724">
        <f t="shared" si="157"/>
        <v>0</v>
      </c>
      <c r="Q1676" s="674"/>
    </row>
    <row r="1677" spans="2:17">
      <c r="B1677" s="330"/>
      <c r="C1677" s="720">
        <f>IF(D1649="","-",+C1676+1)</f>
        <v>2037</v>
      </c>
      <c r="D1677" s="673">
        <f t="shared" si="158"/>
        <v>0</v>
      </c>
      <c r="E1677" s="726">
        <f t="shared" si="159"/>
        <v>0</v>
      </c>
      <c r="F1677" s="726">
        <f t="shared" si="152"/>
        <v>0</v>
      </c>
      <c r="G1677" s="673">
        <f t="shared" si="153"/>
        <v>0</v>
      </c>
      <c r="H1677" s="721">
        <f>+J1650*G1677+E1677</f>
        <v>0</v>
      </c>
      <c r="I1677" s="727">
        <f>+J1651*G1677+E1677</f>
        <v>0</v>
      </c>
      <c r="J1677" s="724">
        <f t="shared" si="154"/>
        <v>0</v>
      </c>
      <c r="K1677" s="724"/>
      <c r="L1677" s="728"/>
      <c r="M1677" s="724">
        <f t="shared" si="155"/>
        <v>0</v>
      </c>
      <c r="N1677" s="728"/>
      <c r="O1677" s="724">
        <f t="shared" si="156"/>
        <v>0</v>
      </c>
      <c r="P1677" s="724">
        <f t="shared" si="157"/>
        <v>0</v>
      </c>
      <c r="Q1677" s="674"/>
    </row>
    <row r="1678" spans="2:17">
      <c r="B1678" s="330"/>
      <c r="C1678" s="720">
        <f>IF(D1649="","-",+C1677+1)</f>
        <v>2038</v>
      </c>
      <c r="D1678" s="673">
        <f t="shared" si="158"/>
        <v>0</v>
      </c>
      <c r="E1678" s="726">
        <f t="shared" si="159"/>
        <v>0</v>
      </c>
      <c r="F1678" s="726">
        <f t="shared" si="152"/>
        <v>0</v>
      </c>
      <c r="G1678" s="673">
        <f t="shared" si="153"/>
        <v>0</v>
      </c>
      <c r="H1678" s="721">
        <f>+J1650*G1678+E1678</f>
        <v>0</v>
      </c>
      <c r="I1678" s="727">
        <f>+J1651*G1678+E1678</f>
        <v>0</v>
      </c>
      <c r="J1678" s="724">
        <f t="shared" si="154"/>
        <v>0</v>
      </c>
      <c r="K1678" s="724"/>
      <c r="L1678" s="728"/>
      <c r="M1678" s="724">
        <f t="shared" si="155"/>
        <v>0</v>
      </c>
      <c r="N1678" s="728"/>
      <c r="O1678" s="724">
        <f t="shared" si="156"/>
        <v>0</v>
      </c>
      <c r="P1678" s="724">
        <f t="shared" si="157"/>
        <v>0</v>
      </c>
      <c r="Q1678" s="674"/>
    </row>
    <row r="1679" spans="2:17">
      <c r="B1679" s="330"/>
      <c r="C1679" s="720">
        <f>IF(D1649="","-",+C1678+1)</f>
        <v>2039</v>
      </c>
      <c r="D1679" s="673">
        <f t="shared" si="158"/>
        <v>0</v>
      </c>
      <c r="E1679" s="726">
        <f t="shared" si="159"/>
        <v>0</v>
      </c>
      <c r="F1679" s="726">
        <f t="shared" si="152"/>
        <v>0</v>
      </c>
      <c r="G1679" s="673">
        <f t="shared" si="153"/>
        <v>0</v>
      </c>
      <c r="H1679" s="721">
        <f>+J1650*G1679+E1679</f>
        <v>0</v>
      </c>
      <c r="I1679" s="727">
        <f>+J1651*G1679+E1679</f>
        <v>0</v>
      </c>
      <c r="J1679" s="724">
        <f t="shared" si="154"/>
        <v>0</v>
      </c>
      <c r="K1679" s="724"/>
      <c r="L1679" s="728"/>
      <c r="M1679" s="724">
        <f t="shared" si="155"/>
        <v>0</v>
      </c>
      <c r="N1679" s="728"/>
      <c r="O1679" s="724">
        <f t="shared" si="156"/>
        <v>0</v>
      </c>
      <c r="P1679" s="724">
        <f t="shared" si="157"/>
        <v>0</v>
      </c>
      <c r="Q1679" s="674"/>
    </row>
    <row r="1680" spans="2:17">
      <c r="B1680" s="330"/>
      <c r="C1680" s="720">
        <f>IF(D1649="","-",+C1679+1)</f>
        <v>2040</v>
      </c>
      <c r="D1680" s="673">
        <f t="shared" si="158"/>
        <v>0</v>
      </c>
      <c r="E1680" s="726">
        <f t="shared" si="159"/>
        <v>0</v>
      </c>
      <c r="F1680" s="726">
        <f t="shared" si="152"/>
        <v>0</v>
      </c>
      <c r="G1680" s="673">
        <f t="shared" si="153"/>
        <v>0</v>
      </c>
      <c r="H1680" s="721">
        <f>+J1650*G1680+E1680</f>
        <v>0</v>
      </c>
      <c r="I1680" s="727">
        <f>+J1651*G1680+E1680</f>
        <v>0</v>
      </c>
      <c r="J1680" s="724">
        <f t="shared" si="154"/>
        <v>0</v>
      </c>
      <c r="K1680" s="724"/>
      <c r="L1680" s="728"/>
      <c r="M1680" s="724">
        <f t="shared" si="155"/>
        <v>0</v>
      </c>
      <c r="N1680" s="728"/>
      <c r="O1680" s="724">
        <f t="shared" si="156"/>
        <v>0</v>
      </c>
      <c r="P1680" s="724">
        <f t="shared" si="157"/>
        <v>0</v>
      </c>
      <c r="Q1680" s="674"/>
    </row>
    <row r="1681" spans="2:17">
      <c r="B1681" s="330"/>
      <c r="C1681" s="720">
        <f>IF(D1649="","-",+C1680+1)</f>
        <v>2041</v>
      </c>
      <c r="D1681" s="673">
        <f t="shared" si="158"/>
        <v>0</v>
      </c>
      <c r="E1681" s="726">
        <f t="shared" si="159"/>
        <v>0</v>
      </c>
      <c r="F1681" s="726">
        <f t="shared" si="152"/>
        <v>0</v>
      </c>
      <c r="G1681" s="673">
        <f t="shared" si="153"/>
        <v>0</v>
      </c>
      <c r="H1681" s="721">
        <f>+J1650*G1681+E1681</f>
        <v>0</v>
      </c>
      <c r="I1681" s="727">
        <f>+J1651*G1681+E1681</f>
        <v>0</v>
      </c>
      <c r="J1681" s="724">
        <f t="shared" si="154"/>
        <v>0</v>
      </c>
      <c r="K1681" s="724"/>
      <c r="L1681" s="728"/>
      <c r="M1681" s="724">
        <f t="shared" si="155"/>
        <v>0</v>
      </c>
      <c r="N1681" s="728"/>
      <c r="O1681" s="724">
        <f t="shared" si="156"/>
        <v>0</v>
      </c>
      <c r="P1681" s="724">
        <f t="shared" si="157"/>
        <v>0</v>
      </c>
      <c r="Q1681" s="674"/>
    </row>
    <row r="1682" spans="2:17">
      <c r="B1682" s="330"/>
      <c r="C1682" s="720">
        <f>IF(D1649="","-",+C1681+1)</f>
        <v>2042</v>
      </c>
      <c r="D1682" s="673">
        <f t="shared" si="158"/>
        <v>0</v>
      </c>
      <c r="E1682" s="726">
        <f t="shared" si="159"/>
        <v>0</v>
      </c>
      <c r="F1682" s="726">
        <f t="shared" si="152"/>
        <v>0</v>
      </c>
      <c r="G1682" s="673">
        <f t="shared" si="153"/>
        <v>0</v>
      </c>
      <c r="H1682" s="721">
        <f>+J1650*G1682+E1682</f>
        <v>0</v>
      </c>
      <c r="I1682" s="727">
        <f>+J1651*G1682+E1682</f>
        <v>0</v>
      </c>
      <c r="J1682" s="724">
        <f t="shared" si="154"/>
        <v>0</v>
      </c>
      <c r="K1682" s="724"/>
      <c r="L1682" s="728"/>
      <c r="M1682" s="724">
        <f t="shared" si="155"/>
        <v>0</v>
      </c>
      <c r="N1682" s="728"/>
      <c r="O1682" s="724">
        <f t="shared" si="156"/>
        <v>0</v>
      </c>
      <c r="P1682" s="724">
        <f t="shared" si="157"/>
        <v>0</v>
      </c>
      <c r="Q1682" s="674"/>
    </row>
    <row r="1683" spans="2:17">
      <c r="B1683" s="330"/>
      <c r="C1683" s="720">
        <f>IF(D1649="","-",+C1682+1)</f>
        <v>2043</v>
      </c>
      <c r="D1683" s="673">
        <f t="shared" si="158"/>
        <v>0</v>
      </c>
      <c r="E1683" s="726">
        <f t="shared" si="159"/>
        <v>0</v>
      </c>
      <c r="F1683" s="726">
        <f t="shared" si="152"/>
        <v>0</v>
      </c>
      <c r="G1683" s="673">
        <f t="shared" si="153"/>
        <v>0</v>
      </c>
      <c r="H1683" s="721">
        <f>+J1650*G1683+E1683</f>
        <v>0</v>
      </c>
      <c r="I1683" s="727">
        <f>+J1651*G1683+E1683</f>
        <v>0</v>
      </c>
      <c r="J1683" s="724">
        <f t="shared" si="154"/>
        <v>0</v>
      </c>
      <c r="K1683" s="724"/>
      <c r="L1683" s="728"/>
      <c r="M1683" s="724">
        <f t="shared" si="155"/>
        <v>0</v>
      </c>
      <c r="N1683" s="728"/>
      <c r="O1683" s="724">
        <f t="shared" si="156"/>
        <v>0</v>
      </c>
      <c r="P1683" s="724">
        <f t="shared" si="157"/>
        <v>0</v>
      </c>
      <c r="Q1683" s="674"/>
    </row>
    <row r="1684" spans="2:17">
      <c r="B1684" s="330"/>
      <c r="C1684" s="720">
        <f>IF(D1649="","-",+C1683+1)</f>
        <v>2044</v>
      </c>
      <c r="D1684" s="673">
        <f t="shared" si="158"/>
        <v>0</v>
      </c>
      <c r="E1684" s="726">
        <f t="shared" si="159"/>
        <v>0</v>
      </c>
      <c r="F1684" s="726">
        <f t="shared" si="152"/>
        <v>0</v>
      </c>
      <c r="G1684" s="673">
        <f t="shared" si="153"/>
        <v>0</v>
      </c>
      <c r="H1684" s="721">
        <f>+J1650*G1684+E1684</f>
        <v>0</v>
      </c>
      <c r="I1684" s="727">
        <f>+J1651*G1684+E1684</f>
        <v>0</v>
      </c>
      <c r="J1684" s="724">
        <f t="shared" si="154"/>
        <v>0</v>
      </c>
      <c r="K1684" s="724"/>
      <c r="L1684" s="728"/>
      <c r="M1684" s="724">
        <f t="shared" si="155"/>
        <v>0</v>
      </c>
      <c r="N1684" s="728"/>
      <c r="O1684" s="724">
        <f t="shared" si="156"/>
        <v>0</v>
      </c>
      <c r="P1684" s="724">
        <f t="shared" si="157"/>
        <v>0</v>
      </c>
      <c r="Q1684" s="674"/>
    </row>
    <row r="1685" spans="2:17">
      <c r="B1685" s="330"/>
      <c r="C1685" s="720">
        <f>IF(D1649="","-",+C1684+1)</f>
        <v>2045</v>
      </c>
      <c r="D1685" s="673">
        <f t="shared" si="158"/>
        <v>0</v>
      </c>
      <c r="E1685" s="726">
        <f t="shared" si="159"/>
        <v>0</v>
      </c>
      <c r="F1685" s="726">
        <f t="shared" si="152"/>
        <v>0</v>
      </c>
      <c r="G1685" s="673">
        <f t="shared" si="153"/>
        <v>0</v>
      </c>
      <c r="H1685" s="721">
        <f>+J1650*G1685+E1685</f>
        <v>0</v>
      </c>
      <c r="I1685" s="727">
        <f>+J1651*G1685+E1685</f>
        <v>0</v>
      </c>
      <c r="J1685" s="724">
        <f t="shared" si="154"/>
        <v>0</v>
      </c>
      <c r="K1685" s="724"/>
      <c r="L1685" s="728"/>
      <c r="M1685" s="724">
        <f t="shared" si="155"/>
        <v>0</v>
      </c>
      <c r="N1685" s="728"/>
      <c r="O1685" s="724">
        <f t="shared" si="156"/>
        <v>0</v>
      </c>
      <c r="P1685" s="724">
        <f t="shared" si="157"/>
        <v>0</v>
      </c>
      <c r="Q1685" s="674"/>
    </row>
    <row r="1686" spans="2:17">
      <c r="B1686" s="330"/>
      <c r="C1686" s="720">
        <f>IF(D1649="","-",+C1685+1)</f>
        <v>2046</v>
      </c>
      <c r="D1686" s="673">
        <f t="shared" si="158"/>
        <v>0</v>
      </c>
      <c r="E1686" s="726">
        <f t="shared" si="159"/>
        <v>0</v>
      </c>
      <c r="F1686" s="726">
        <f t="shared" si="152"/>
        <v>0</v>
      </c>
      <c r="G1686" s="673">
        <f t="shared" si="153"/>
        <v>0</v>
      </c>
      <c r="H1686" s="721">
        <f>+J1650*G1686+E1686</f>
        <v>0</v>
      </c>
      <c r="I1686" s="727">
        <f>+J1651*G1686+E1686</f>
        <v>0</v>
      </c>
      <c r="J1686" s="724">
        <f t="shared" si="154"/>
        <v>0</v>
      </c>
      <c r="K1686" s="724"/>
      <c r="L1686" s="728"/>
      <c r="M1686" s="724">
        <f t="shared" si="155"/>
        <v>0</v>
      </c>
      <c r="N1686" s="728"/>
      <c r="O1686" s="724">
        <f t="shared" si="156"/>
        <v>0</v>
      </c>
      <c r="P1686" s="724">
        <f t="shared" si="157"/>
        <v>0</v>
      </c>
      <c r="Q1686" s="674"/>
    </row>
    <row r="1687" spans="2:17">
      <c r="B1687" s="330"/>
      <c r="C1687" s="720">
        <f>IF(D1649="","-",+C1686+1)</f>
        <v>2047</v>
      </c>
      <c r="D1687" s="673">
        <f t="shared" si="158"/>
        <v>0</v>
      </c>
      <c r="E1687" s="726">
        <f t="shared" si="159"/>
        <v>0</v>
      </c>
      <c r="F1687" s="726">
        <f t="shared" si="152"/>
        <v>0</v>
      </c>
      <c r="G1687" s="673">
        <f t="shared" si="153"/>
        <v>0</v>
      </c>
      <c r="H1687" s="721">
        <f>+J1650*G1687+E1687</f>
        <v>0</v>
      </c>
      <c r="I1687" s="727">
        <f>+J1651*G1687+E1687</f>
        <v>0</v>
      </c>
      <c r="J1687" s="724">
        <f t="shared" si="154"/>
        <v>0</v>
      </c>
      <c r="K1687" s="724"/>
      <c r="L1687" s="728"/>
      <c r="M1687" s="724">
        <f t="shared" si="155"/>
        <v>0</v>
      </c>
      <c r="N1687" s="728"/>
      <c r="O1687" s="724">
        <f t="shared" si="156"/>
        <v>0</v>
      </c>
      <c r="P1687" s="724">
        <f t="shared" si="157"/>
        <v>0</v>
      </c>
      <c r="Q1687" s="674"/>
    </row>
    <row r="1688" spans="2:17">
      <c r="B1688" s="330"/>
      <c r="C1688" s="720">
        <f>IF(D1649="","-",+C1687+1)</f>
        <v>2048</v>
      </c>
      <c r="D1688" s="673">
        <f t="shared" si="158"/>
        <v>0</v>
      </c>
      <c r="E1688" s="726">
        <f t="shared" si="159"/>
        <v>0</v>
      </c>
      <c r="F1688" s="726">
        <f t="shared" si="152"/>
        <v>0</v>
      </c>
      <c r="G1688" s="673">
        <f t="shared" si="153"/>
        <v>0</v>
      </c>
      <c r="H1688" s="721">
        <f>+J1650*G1688+E1688</f>
        <v>0</v>
      </c>
      <c r="I1688" s="727">
        <f>+J1651*G1688+E1688</f>
        <v>0</v>
      </c>
      <c r="J1688" s="724">
        <f t="shared" si="154"/>
        <v>0</v>
      </c>
      <c r="K1688" s="724"/>
      <c r="L1688" s="728"/>
      <c r="M1688" s="724">
        <f t="shared" si="155"/>
        <v>0</v>
      </c>
      <c r="N1688" s="728"/>
      <c r="O1688" s="724">
        <f t="shared" si="156"/>
        <v>0</v>
      </c>
      <c r="P1688" s="724">
        <f t="shared" si="157"/>
        <v>0</v>
      </c>
      <c r="Q1688" s="674"/>
    </row>
    <row r="1689" spans="2:17">
      <c r="B1689" s="330"/>
      <c r="C1689" s="720">
        <f>IF(D1649="","-",+C1688+1)</f>
        <v>2049</v>
      </c>
      <c r="D1689" s="673">
        <f t="shared" si="158"/>
        <v>0</v>
      </c>
      <c r="E1689" s="726">
        <f t="shared" si="159"/>
        <v>0</v>
      </c>
      <c r="F1689" s="726">
        <f t="shared" si="152"/>
        <v>0</v>
      </c>
      <c r="G1689" s="673">
        <f t="shared" si="153"/>
        <v>0</v>
      </c>
      <c r="H1689" s="721">
        <f>+J1650*G1689+E1689</f>
        <v>0</v>
      </c>
      <c r="I1689" s="727">
        <f>+J1651*G1689+E1689</f>
        <v>0</v>
      </c>
      <c r="J1689" s="724">
        <f t="shared" si="154"/>
        <v>0</v>
      </c>
      <c r="K1689" s="724"/>
      <c r="L1689" s="728"/>
      <c r="M1689" s="724">
        <f t="shared" si="155"/>
        <v>0</v>
      </c>
      <c r="N1689" s="728"/>
      <c r="O1689" s="724">
        <f t="shared" si="156"/>
        <v>0</v>
      </c>
      <c r="P1689" s="724">
        <f t="shared" si="157"/>
        <v>0</v>
      </c>
      <c r="Q1689" s="674"/>
    </row>
    <row r="1690" spans="2:17">
      <c r="B1690" s="330"/>
      <c r="C1690" s="720">
        <f>IF(D1649="","-",+C1689+1)</f>
        <v>2050</v>
      </c>
      <c r="D1690" s="673">
        <f t="shared" si="158"/>
        <v>0</v>
      </c>
      <c r="E1690" s="726">
        <f t="shared" si="159"/>
        <v>0</v>
      </c>
      <c r="F1690" s="726">
        <f t="shared" si="152"/>
        <v>0</v>
      </c>
      <c r="G1690" s="673">
        <f t="shared" si="153"/>
        <v>0</v>
      </c>
      <c r="H1690" s="721">
        <f>+J1650*G1690+E1690</f>
        <v>0</v>
      </c>
      <c r="I1690" s="727">
        <f>+J1651*G1690+E1690</f>
        <v>0</v>
      </c>
      <c r="J1690" s="724">
        <f t="shared" si="154"/>
        <v>0</v>
      </c>
      <c r="K1690" s="724"/>
      <c r="L1690" s="728"/>
      <c r="M1690" s="724">
        <f t="shared" si="155"/>
        <v>0</v>
      </c>
      <c r="N1690" s="728"/>
      <c r="O1690" s="724">
        <f t="shared" si="156"/>
        <v>0</v>
      </c>
      <c r="P1690" s="724">
        <f t="shared" si="157"/>
        <v>0</v>
      </c>
      <c r="Q1690" s="674"/>
    </row>
    <row r="1691" spans="2:17">
      <c r="B1691" s="330"/>
      <c r="C1691" s="720">
        <f>IF(D1649="","-",+C1690+1)</f>
        <v>2051</v>
      </c>
      <c r="D1691" s="673">
        <f t="shared" si="158"/>
        <v>0</v>
      </c>
      <c r="E1691" s="726">
        <f t="shared" si="159"/>
        <v>0</v>
      </c>
      <c r="F1691" s="726">
        <f t="shared" si="152"/>
        <v>0</v>
      </c>
      <c r="G1691" s="673">
        <f t="shared" si="153"/>
        <v>0</v>
      </c>
      <c r="H1691" s="721">
        <f>+J1650*G1691+E1691</f>
        <v>0</v>
      </c>
      <c r="I1691" s="727">
        <f>+J1651*G1691+E1691</f>
        <v>0</v>
      </c>
      <c r="J1691" s="724">
        <f t="shared" si="154"/>
        <v>0</v>
      </c>
      <c r="K1691" s="724"/>
      <c r="L1691" s="728"/>
      <c r="M1691" s="724">
        <f t="shared" si="155"/>
        <v>0</v>
      </c>
      <c r="N1691" s="728"/>
      <c r="O1691" s="724">
        <f t="shared" si="156"/>
        <v>0</v>
      </c>
      <c r="P1691" s="724">
        <f t="shared" si="157"/>
        <v>0</v>
      </c>
      <c r="Q1691" s="674"/>
    </row>
    <row r="1692" spans="2:17">
      <c r="B1692" s="330"/>
      <c r="C1692" s="720">
        <f>IF(D1649="","-",+C1691+1)</f>
        <v>2052</v>
      </c>
      <c r="D1692" s="673">
        <f t="shared" si="158"/>
        <v>0</v>
      </c>
      <c r="E1692" s="726">
        <f t="shared" si="159"/>
        <v>0</v>
      </c>
      <c r="F1692" s="726">
        <f t="shared" si="152"/>
        <v>0</v>
      </c>
      <c r="G1692" s="673">
        <f t="shared" si="153"/>
        <v>0</v>
      </c>
      <c r="H1692" s="721">
        <f>+J1650*G1692+E1692</f>
        <v>0</v>
      </c>
      <c r="I1692" s="727">
        <f>+J1651*G1692+E1692</f>
        <v>0</v>
      </c>
      <c r="J1692" s="724">
        <f t="shared" si="154"/>
        <v>0</v>
      </c>
      <c r="K1692" s="724"/>
      <c r="L1692" s="728"/>
      <c r="M1692" s="724">
        <f t="shared" si="155"/>
        <v>0</v>
      </c>
      <c r="N1692" s="728"/>
      <c r="O1692" s="724">
        <f t="shared" si="156"/>
        <v>0</v>
      </c>
      <c r="P1692" s="724">
        <f t="shared" si="157"/>
        <v>0</v>
      </c>
      <c r="Q1692" s="674"/>
    </row>
    <row r="1693" spans="2:17">
      <c r="B1693" s="330"/>
      <c r="C1693" s="720">
        <f>IF(D1649="","-",+C1692+1)</f>
        <v>2053</v>
      </c>
      <c r="D1693" s="673">
        <f t="shared" si="158"/>
        <v>0</v>
      </c>
      <c r="E1693" s="726">
        <f t="shared" si="159"/>
        <v>0</v>
      </c>
      <c r="F1693" s="726">
        <f t="shared" si="152"/>
        <v>0</v>
      </c>
      <c r="G1693" s="673">
        <f t="shared" si="153"/>
        <v>0</v>
      </c>
      <c r="H1693" s="721">
        <f>+J1650*G1693+E1693</f>
        <v>0</v>
      </c>
      <c r="I1693" s="727">
        <f>+J1651*G1693+E1693</f>
        <v>0</v>
      </c>
      <c r="J1693" s="724">
        <f t="shared" si="154"/>
        <v>0</v>
      </c>
      <c r="K1693" s="724"/>
      <c r="L1693" s="728"/>
      <c r="M1693" s="724">
        <f t="shared" si="155"/>
        <v>0</v>
      </c>
      <c r="N1693" s="728"/>
      <c r="O1693" s="724">
        <f t="shared" si="156"/>
        <v>0</v>
      </c>
      <c r="P1693" s="724">
        <f t="shared" si="157"/>
        <v>0</v>
      </c>
      <c r="Q1693" s="674"/>
    </row>
    <row r="1694" spans="2:17">
      <c r="B1694" s="330"/>
      <c r="C1694" s="720">
        <f>IF(D1649="","-",+C1693+1)</f>
        <v>2054</v>
      </c>
      <c r="D1694" s="673">
        <f t="shared" si="158"/>
        <v>0</v>
      </c>
      <c r="E1694" s="726">
        <f t="shared" si="159"/>
        <v>0</v>
      </c>
      <c r="F1694" s="726">
        <f t="shared" si="152"/>
        <v>0</v>
      </c>
      <c r="G1694" s="673">
        <f t="shared" si="153"/>
        <v>0</v>
      </c>
      <c r="H1694" s="721">
        <f>+J1650*G1694+E1694</f>
        <v>0</v>
      </c>
      <c r="I1694" s="727">
        <f>+J1651*G1694+E1694</f>
        <v>0</v>
      </c>
      <c r="J1694" s="724">
        <f t="shared" si="154"/>
        <v>0</v>
      </c>
      <c r="K1694" s="724"/>
      <c r="L1694" s="728"/>
      <c r="M1694" s="724">
        <f t="shared" si="155"/>
        <v>0</v>
      </c>
      <c r="N1694" s="728"/>
      <c r="O1694" s="724">
        <f t="shared" si="156"/>
        <v>0</v>
      </c>
      <c r="P1694" s="724">
        <f t="shared" si="157"/>
        <v>0</v>
      </c>
      <c r="Q1694" s="674"/>
    </row>
    <row r="1695" spans="2:17">
      <c r="B1695" s="330"/>
      <c r="C1695" s="720">
        <f>IF(D1649="","-",+C1694+1)</f>
        <v>2055</v>
      </c>
      <c r="D1695" s="673">
        <f t="shared" si="158"/>
        <v>0</v>
      </c>
      <c r="E1695" s="726">
        <f t="shared" si="159"/>
        <v>0</v>
      </c>
      <c r="F1695" s="726">
        <f t="shared" si="152"/>
        <v>0</v>
      </c>
      <c r="G1695" s="673">
        <f t="shared" si="153"/>
        <v>0</v>
      </c>
      <c r="H1695" s="721">
        <f>+J1650*G1695+E1695</f>
        <v>0</v>
      </c>
      <c r="I1695" s="727">
        <f>+J1651*G1695+E1695</f>
        <v>0</v>
      </c>
      <c r="J1695" s="724">
        <f t="shared" si="154"/>
        <v>0</v>
      </c>
      <c r="K1695" s="724"/>
      <c r="L1695" s="728"/>
      <c r="M1695" s="724">
        <f t="shared" si="155"/>
        <v>0</v>
      </c>
      <c r="N1695" s="728"/>
      <c r="O1695" s="724">
        <f t="shared" si="156"/>
        <v>0</v>
      </c>
      <c r="P1695" s="724">
        <f t="shared" si="157"/>
        <v>0</v>
      </c>
      <c r="Q1695" s="674"/>
    </row>
    <row r="1696" spans="2:17">
      <c r="B1696" s="330"/>
      <c r="C1696" s="720">
        <f>IF(D1649="","-",+C1695+1)</f>
        <v>2056</v>
      </c>
      <c r="D1696" s="673">
        <f t="shared" si="158"/>
        <v>0</v>
      </c>
      <c r="E1696" s="726">
        <f t="shared" si="159"/>
        <v>0</v>
      </c>
      <c r="F1696" s="726">
        <f t="shared" si="152"/>
        <v>0</v>
      </c>
      <c r="G1696" s="673">
        <f t="shared" si="153"/>
        <v>0</v>
      </c>
      <c r="H1696" s="721">
        <f>+J1650*G1696+E1696</f>
        <v>0</v>
      </c>
      <c r="I1696" s="727">
        <f>+J1651*G1696+E1696</f>
        <v>0</v>
      </c>
      <c r="J1696" s="724">
        <f t="shared" si="154"/>
        <v>0</v>
      </c>
      <c r="K1696" s="724"/>
      <c r="L1696" s="728"/>
      <c r="M1696" s="724">
        <f t="shared" si="155"/>
        <v>0</v>
      </c>
      <c r="N1696" s="728"/>
      <c r="O1696" s="724">
        <f t="shared" si="156"/>
        <v>0</v>
      </c>
      <c r="P1696" s="724">
        <f t="shared" si="157"/>
        <v>0</v>
      </c>
      <c r="Q1696" s="674"/>
    </row>
    <row r="1697" spans="2:17">
      <c r="B1697" s="330"/>
      <c r="C1697" s="720">
        <f>IF(D1649="","-",+C1696+1)</f>
        <v>2057</v>
      </c>
      <c r="D1697" s="673">
        <f t="shared" si="158"/>
        <v>0</v>
      </c>
      <c r="E1697" s="726">
        <f t="shared" si="159"/>
        <v>0</v>
      </c>
      <c r="F1697" s="726">
        <f t="shared" si="152"/>
        <v>0</v>
      </c>
      <c r="G1697" s="673">
        <f t="shared" si="153"/>
        <v>0</v>
      </c>
      <c r="H1697" s="721">
        <f>+J1650*G1697+E1697</f>
        <v>0</v>
      </c>
      <c r="I1697" s="727">
        <f>+J1651*G1697+E1697</f>
        <v>0</v>
      </c>
      <c r="J1697" s="724">
        <f t="shared" si="154"/>
        <v>0</v>
      </c>
      <c r="K1697" s="724"/>
      <c r="L1697" s="728"/>
      <c r="M1697" s="724">
        <f t="shared" si="155"/>
        <v>0</v>
      </c>
      <c r="N1697" s="728"/>
      <c r="O1697" s="724">
        <f t="shared" si="156"/>
        <v>0</v>
      </c>
      <c r="P1697" s="724">
        <f t="shared" si="157"/>
        <v>0</v>
      </c>
      <c r="Q1697" s="674"/>
    </row>
    <row r="1698" spans="2:17">
      <c r="B1698" s="330"/>
      <c r="C1698" s="720">
        <f>IF(D1649="","-",+C1697+1)</f>
        <v>2058</v>
      </c>
      <c r="D1698" s="673">
        <f t="shared" si="158"/>
        <v>0</v>
      </c>
      <c r="E1698" s="726">
        <f t="shared" si="159"/>
        <v>0</v>
      </c>
      <c r="F1698" s="726">
        <f t="shared" si="152"/>
        <v>0</v>
      </c>
      <c r="G1698" s="673">
        <f t="shared" si="153"/>
        <v>0</v>
      </c>
      <c r="H1698" s="721">
        <f>+J1650*G1698+E1698</f>
        <v>0</v>
      </c>
      <c r="I1698" s="727">
        <f>+J1651*G1698+E1698</f>
        <v>0</v>
      </c>
      <c r="J1698" s="724">
        <f t="shared" si="154"/>
        <v>0</v>
      </c>
      <c r="K1698" s="724"/>
      <c r="L1698" s="728"/>
      <c r="M1698" s="724">
        <f t="shared" si="155"/>
        <v>0</v>
      </c>
      <c r="N1698" s="728"/>
      <c r="O1698" s="724">
        <f t="shared" si="156"/>
        <v>0</v>
      </c>
      <c r="P1698" s="724">
        <f t="shared" si="157"/>
        <v>0</v>
      </c>
      <c r="Q1698" s="674"/>
    </row>
    <row r="1699" spans="2:17">
      <c r="B1699" s="330"/>
      <c r="C1699" s="720">
        <f>IF(D1649="","-",+C1698+1)</f>
        <v>2059</v>
      </c>
      <c r="D1699" s="673">
        <f t="shared" si="158"/>
        <v>0</v>
      </c>
      <c r="E1699" s="726">
        <f t="shared" si="159"/>
        <v>0</v>
      </c>
      <c r="F1699" s="726">
        <f t="shared" si="152"/>
        <v>0</v>
      </c>
      <c r="G1699" s="673">
        <f t="shared" si="153"/>
        <v>0</v>
      </c>
      <c r="H1699" s="721">
        <f>+J1650*G1699+E1699</f>
        <v>0</v>
      </c>
      <c r="I1699" s="727">
        <f>+J1651*G1699+E1699</f>
        <v>0</v>
      </c>
      <c r="J1699" s="724">
        <f t="shared" si="154"/>
        <v>0</v>
      </c>
      <c r="K1699" s="724"/>
      <c r="L1699" s="728"/>
      <c r="M1699" s="724">
        <f t="shared" si="155"/>
        <v>0</v>
      </c>
      <c r="N1699" s="728"/>
      <c r="O1699" s="724">
        <f t="shared" si="156"/>
        <v>0</v>
      </c>
      <c r="P1699" s="724">
        <f t="shared" si="157"/>
        <v>0</v>
      </c>
      <c r="Q1699" s="674"/>
    </row>
    <row r="1700" spans="2:17">
      <c r="B1700" s="330"/>
      <c r="C1700" s="720">
        <f>IF(D1649="","-",+C1699+1)</f>
        <v>2060</v>
      </c>
      <c r="D1700" s="673">
        <f t="shared" si="158"/>
        <v>0</v>
      </c>
      <c r="E1700" s="726">
        <f t="shared" si="159"/>
        <v>0</v>
      </c>
      <c r="F1700" s="726">
        <f t="shared" si="152"/>
        <v>0</v>
      </c>
      <c r="G1700" s="673">
        <f t="shared" si="153"/>
        <v>0</v>
      </c>
      <c r="H1700" s="721">
        <f>+J1650*G1700+E1700</f>
        <v>0</v>
      </c>
      <c r="I1700" s="727">
        <f>+J1651*G1700+E1700</f>
        <v>0</v>
      </c>
      <c r="J1700" s="724">
        <f t="shared" si="154"/>
        <v>0</v>
      </c>
      <c r="K1700" s="724"/>
      <c r="L1700" s="728"/>
      <c r="M1700" s="724">
        <f t="shared" si="155"/>
        <v>0</v>
      </c>
      <c r="N1700" s="728"/>
      <c r="O1700" s="724">
        <f t="shared" si="156"/>
        <v>0</v>
      </c>
      <c r="P1700" s="724">
        <f t="shared" si="157"/>
        <v>0</v>
      </c>
      <c r="Q1700" s="674"/>
    </row>
    <row r="1701" spans="2:17">
      <c r="B1701" s="330"/>
      <c r="C1701" s="720">
        <f>IF(D1649="","-",+C1700+1)</f>
        <v>2061</v>
      </c>
      <c r="D1701" s="673">
        <f t="shared" si="158"/>
        <v>0</v>
      </c>
      <c r="E1701" s="726">
        <f t="shared" si="159"/>
        <v>0</v>
      </c>
      <c r="F1701" s="726">
        <f t="shared" si="152"/>
        <v>0</v>
      </c>
      <c r="G1701" s="673">
        <f t="shared" si="153"/>
        <v>0</v>
      </c>
      <c r="H1701" s="721">
        <f>+J1650*G1701+E1701</f>
        <v>0</v>
      </c>
      <c r="I1701" s="727">
        <f>+J1651*G1701+E1701</f>
        <v>0</v>
      </c>
      <c r="J1701" s="724">
        <f t="shared" si="154"/>
        <v>0</v>
      </c>
      <c r="K1701" s="724"/>
      <c r="L1701" s="728"/>
      <c r="M1701" s="724">
        <f t="shared" si="155"/>
        <v>0</v>
      </c>
      <c r="N1701" s="728"/>
      <c r="O1701" s="724">
        <f t="shared" si="156"/>
        <v>0</v>
      </c>
      <c r="P1701" s="724">
        <f t="shared" si="157"/>
        <v>0</v>
      </c>
      <c r="Q1701" s="674"/>
    </row>
    <row r="1702" spans="2:17">
      <c r="B1702" s="330"/>
      <c r="C1702" s="720">
        <f>IF(D1649="","-",+C1701+1)</f>
        <v>2062</v>
      </c>
      <c r="D1702" s="673">
        <f t="shared" si="158"/>
        <v>0</v>
      </c>
      <c r="E1702" s="726">
        <f t="shared" si="159"/>
        <v>0</v>
      </c>
      <c r="F1702" s="726">
        <f t="shared" si="152"/>
        <v>0</v>
      </c>
      <c r="G1702" s="673">
        <f t="shared" si="153"/>
        <v>0</v>
      </c>
      <c r="H1702" s="721">
        <f>+J1650*G1702+E1702</f>
        <v>0</v>
      </c>
      <c r="I1702" s="727">
        <f>+J1651*G1702+E1702</f>
        <v>0</v>
      </c>
      <c r="J1702" s="724">
        <f t="shared" si="154"/>
        <v>0</v>
      </c>
      <c r="K1702" s="724"/>
      <c r="L1702" s="728"/>
      <c r="M1702" s="724">
        <f t="shared" si="155"/>
        <v>0</v>
      </c>
      <c r="N1702" s="728"/>
      <c r="O1702" s="724">
        <f t="shared" si="156"/>
        <v>0</v>
      </c>
      <c r="P1702" s="724">
        <f t="shared" si="157"/>
        <v>0</v>
      </c>
      <c r="Q1702" s="674"/>
    </row>
    <row r="1703" spans="2:17">
      <c r="B1703" s="330"/>
      <c r="C1703" s="720">
        <f>IF(D1649="","-",+C1702+1)</f>
        <v>2063</v>
      </c>
      <c r="D1703" s="673">
        <f t="shared" si="158"/>
        <v>0</v>
      </c>
      <c r="E1703" s="726">
        <f t="shared" si="159"/>
        <v>0</v>
      </c>
      <c r="F1703" s="726">
        <f t="shared" si="152"/>
        <v>0</v>
      </c>
      <c r="G1703" s="673">
        <f t="shared" si="153"/>
        <v>0</v>
      </c>
      <c r="H1703" s="721">
        <f>+J1650*G1703+E1703</f>
        <v>0</v>
      </c>
      <c r="I1703" s="727">
        <f>+J1651*G1703+E1703</f>
        <v>0</v>
      </c>
      <c r="J1703" s="724">
        <f t="shared" si="154"/>
        <v>0</v>
      </c>
      <c r="K1703" s="724"/>
      <c r="L1703" s="728"/>
      <c r="M1703" s="724">
        <f t="shared" si="155"/>
        <v>0</v>
      </c>
      <c r="N1703" s="728"/>
      <c r="O1703" s="724">
        <f t="shared" si="156"/>
        <v>0</v>
      </c>
      <c r="P1703" s="724">
        <f t="shared" si="157"/>
        <v>0</v>
      </c>
      <c r="Q1703" s="674"/>
    </row>
    <row r="1704" spans="2:17">
      <c r="B1704" s="330"/>
      <c r="C1704" s="720">
        <f>IF(D1649="","-",+C1703+1)</f>
        <v>2064</v>
      </c>
      <c r="D1704" s="673">
        <f t="shared" si="158"/>
        <v>0</v>
      </c>
      <c r="E1704" s="726">
        <f t="shared" si="159"/>
        <v>0</v>
      </c>
      <c r="F1704" s="726">
        <f t="shared" si="152"/>
        <v>0</v>
      </c>
      <c r="G1704" s="673">
        <f t="shared" si="153"/>
        <v>0</v>
      </c>
      <c r="H1704" s="721">
        <f>+J1650*G1704+E1704</f>
        <v>0</v>
      </c>
      <c r="I1704" s="727">
        <f>+J1651*G1704+E1704</f>
        <v>0</v>
      </c>
      <c r="J1704" s="724">
        <f t="shared" si="154"/>
        <v>0</v>
      </c>
      <c r="K1704" s="724"/>
      <c r="L1704" s="728"/>
      <c r="M1704" s="724">
        <f t="shared" si="155"/>
        <v>0</v>
      </c>
      <c r="N1704" s="728"/>
      <c r="O1704" s="724">
        <f t="shared" si="156"/>
        <v>0</v>
      </c>
      <c r="P1704" s="724">
        <f t="shared" si="157"/>
        <v>0</v>
      </c>
      <c r="Q1704" s="674"/>
    </row>
    <row r="1705" spans="2:17">
      <c r="B1705" s="330"/>
      <c r="C1705" s="720">
        <f>IF(D1649="","-",+C1704+1)</f>
        <v>2065</v>
      </c>
      <c r="D1705" s="673">
        <f t="shared" si="158"/>
        <v>0</v>
      </c>
      <c r="E1705" s="726">
        <f t="shared" si="159"/>
        <v>0</v>
      </c>
      <c r="F1705" s="726">
        <f t="shared" si="152"/>
        <v>0</v>
      </c>
      <c r="G1705" s="673">
        <f t="shared" si="153"/>
        <v>0</v>
      </c>
      <c r="H1705" s="721">
        <f>+J1650*G1705+E1705</f>
        <v>0</v>
      </c>
      <c r="I1705" s="727">
        <f>+J1651*G1705+E1705</f>
        <v>0</v>
      </c>
      <c r="J1705" s="724">
        <f t="shared" si="154"/>
        <v>0</v>
      </c>
      <c r="K1705" s="724"/>
      <c r="L1705" s="728"/>
      <c r="M1705" s="724">
        <f t="shared" si="155"/>
        <v>0</v>
      </c>
      <c r="N1705" s="728"/>
      <c r="O1705" s="724">
        <f t="shared" si="156"/>
        <v>0</v>
      </c>
      <c r="P1705" s="724">
        <f t="shared" si="157"/>
        <v>0</v>
      </c>
      <c r="Q1705" s="674"/>
    </row>
    <row r="1706" spans="2:17">
      <c r="B1706" s="330"/>
      <c r="C1706" s="720">
        <f>IF(D1649="","-",+C1705+1)</f>
        <v>2066</v>
      </c>
      <c r="D1706" s="673">
        <f t="shared" si="158"/>
        <v>0</v>
      </c>
      <c r="E1706" s="726">
        <f t="shared" si="159"/>
        <v>0</v>
      </c>
      <c r="F1706" s="726">
        <f t="shared" si="152"/>
        <v>0</v>
      </c>
      <c r="G1706" s="673">
        <f t="shared" si="153"/>
        <v>0</v>
      </c>
      <c r="H1706" s="721">
        <f>+J1650*G1706+E1706</f>
        <v>0</v>
      </c>
      <c r="I1706" s="727">
        <f>+J1651*G1706+E1706</f>
        <v>0</v>
      </c>
      <c r="J1706" s="724">
        <f t="shared" si="154"/>
        <v>0</v>
      </c>
      <c r="K1706" s="724"/>
      <c r="L1706" s="728"/>
      <c r="M1706" s="724">
        <f t="shared" si="155"/>
        <v>0</v>
      </c>
      <c r="N1706" s="728"/>
      <c r="O1706" s="724">
        <f t="shared" si="156"/>
        <v>0</v>
      </c>
      <c r="P1706" s="724">
        <f t="shared" si="157"/>
        <v>0</v>
      </c>
      <c r="Q1706" s="674"/>
    </row>
    <row r="1707" spans="2:17">
      <c r="B1707" s="330"/>
      <c r="C1707" s="720">
        <f>IF(D1649="","-",+C1706+1)</f>
        <v>2067</v>
      </c>
      <c r="D1707" s="673">
        <f t="shared" si="158"/>
        <v>0</v>
      </c>
      <c r="E1707" s="726">
        <f t="shared" si="159"/>
        <v>0</v>
      </c>
      <c r="F1707" s="726">
        <f t="shared" si="152"/>
        <v>0</v>
      </c>
      <c r="G1707" s="673">
        <f t="shared" si="153"/>
        <v>0</v>
      </c>
      <c r="H1707" s="721">
        <f>+J1650*G1707+E1707</f>
        <v>0</v>
      </c>
      <c r="I1707" s="727">
        <f>+J1651*G1707+E1707</f>
        <v>0</v>
      </c>
      <c r="J1707" s="724">
        <f t="shared" si="154"/>
        <v>0</v>
      </c>
      <c r="K1707" s="724"/>
      <c r="L1707" s="728"/>
      <c r="M1707" s="724">
        <f t="shared" si="155"/>
        <v>0</v>
      </c>
      <c r="N1707" s="728"/>
      <c r="O1707" s="724">
        <f t="shared" si="156"/>
        <v>0</v>
      </c>
      <c r="P1707" s="724">
        <f t="shared" si="157"/>
        <v>0</v>
      </c>
      <c r="Q1707" s="674"/>
    </row>
    <row r="1708" spans="2:17">
      <c r="B1708" s="330"/>
      <c r="C1708" s="720">
        <f>IF(D1649="","-",+C1707+1)</f>
        <v>2068</v>
      </c>
      <c r="D1708" s="673">
        <f t="shared" si="158"/>
        <v>0</v>
      </c>
      <c r="E1708" s="726">
        <f t="shared" si="159"/>
        <v>0</v>
      </c>
      <c r="F1708" s="726">
        <f t="shared" si="152"/>
        <v>0</v>
      </c>
      <c r="G1708" s="673">
        <f t="shared" si="153"/>
        <v>0</v>
      </c>
      <c r="H1708" s="721">
        <f>+J1650*G1708+E1708</f>
        <v>0</v>
      </c>
      <c r="I1708" s="727">
        <f>+J1651*G1708+E1708</f>
        <v>0</v>
      </c>
      <c r="J1708" s="724">
        <f t="shared" si="154"/>
        <v>0</v>
      </c>
      <c r="K1708" s="724"/>
      <c r="L1708" s="728"/>
      <c r="M1708" s="724">
        <f t="shared" si="155"/>
        <v>0</v>
      </c>
      <c r="N1708" s="728"/>
      <c r="O1708" s="724">
        <f t="shared" si="156"/>
        <v>0</v>
      </c>
      <c r="P1708" s="724">
        <f t="shared" si="157"/>
        <v>0</v>
      </c>
      <c r="Q1708" s="674"/>
    </row>
    <row r="1709" spans="2:17">
      <c r="B1709" s="330"/>
      <c r="C1709" s="720">
        <f>IF(D1649="","-",+C1708+1)</f>
        <v>2069</v>
      </c>
      <c r="D1709" s="673">
        <f t="shared" si="158"/>
        <v>0</v>
      </c>
      <c r="E1709" s="726">
        <f t="shared" si="159"/>
        <v>0</v>
      </c>
      <c r="F1709" s="726">
        <f t="shared" si="152"/>
        <v>0</v>
      </c>
      <c r="G1709" s="673">
        <f t="shared" si="153"/>
        <v>0</v>
      </c>
      <c r="H1709" s="721">
        <f>+J1650*G1709+E1709</f>
        <v>0</v>
      </c>
      <c r="I1709" s="727">
        <f>+J1651*G1709+E1709</f>
        <v>0</v>
      </c>
      <c r="J1709" s="724">
        <f t="shared" si="154"/>
        <v>0</v>
      </c>
      <c r="K1709" s="724"/>
      <c r="L1709" s="728"/>
      <c r="M1709" s="724">
        <f t="shared" si="155"/>
        <v>0</v>
      </c>
      <c r="N1709" s="728"/>
      <c r="O1709" s="724">
        <f t="shared" si="156"/>
        <v>0</v>
      </c>
      <c r="P1709" s="724">
        <f t="shared" si="157"/>
        <v>0</v>
      </c>
      <c r="Q1709" s="674"/>
    </row>
    <row r="1710" spans="2:17">
      <c r="B1710" s="330"/>
      <c r="C1710" s="720">
        <f>IF(D1649="","-",+C1709+1)</f>
        <v>2070</v>
      </c>
      <c r="D1710" s="673">
        <f t="shared" si="158"/>
        <v>0</v>
      </c>
      <c r="E1710" s="726">
        <f t="shared" si="159"/>
        <v>0</v>
      </c>
      <c r="F1710" s="726">
        <f t="shared" si="152"/>
        <v>0</v>
      </c>
      <c r="G1710" s="673">
        <f t="shared" si="153"/>
        <v>0</v>
      </c>
      <c r="H1710" s="721">
        <f>+J1650*G1710+E1710</f>
        <v>0</v>
      </c>
      <c r="I1710" s="727">
        <f>+J1651*G1710+E1710</f>
        <v>0</v>
      </c>
      <c r="J1710" s="724">
        <f t="shared" si="154"/>
        <v>0</v>
      </c>
      <c r="K1710" s="724"/>
      <c r="L1710" s="728"/>
      <c r="M1710" s="724">
        <f t="shared" si="155"/>
        <v>0</v>
      </c>
      <c r="N1710" s="728"/>
      <c r="O1710" s="724">
        <f t="shared" si="156"/>
        <v>0</v>
      </c>
      <c r="P1710" s="724">
        <f t="shared" si="157"/>
        <v>0</v>
      </c>
      <c r="Q1710" s="674"/>
    </row>
    <row r="1711" spans="2:17">
      <c r="B1711" s="330"/>
      <c r="C1711" s="720">
        <f>IF(D1649="","-",+C1710+1)</f>
        <v>2071</v>
      </c>
      <c r="D1711" s="673">
        <f t="shared" si="158"/>
        <v>0</v>
      </c>
      <c r="E1711" s="726">
        <f t="shared" si="159"/>
        <v>0</v>
      </c>
      <c r="F1711" s="726">
        <f t="shared" si="152"/>
        <v>0</v>
      </c>
      <c r="G1711" s="673">
        <f t="shared" si="153"/>
        <v>0</v>
      </c>
      <c r="H1711" s="721">
        <f>+J1650*G1711+E1711</f>
        <v>0</v>
      </c>
      <c r="I1711" s="727">
        <f>+J1651*G1711+E1711</f>
        <v>0</v>
      </c>
      <c r="J1711" s="724">
        <f t="shared" si="154"/>
        <v>0</v>
      </c>
      <c r="K1711" s="724"/>
      <c r="L1711" s="728"/>
      <c r="M1711" s="724">
        <f t="shared" si="155"/>
        <v>0</v>
      </c>
      <c r="N1711" s="728"/>
      <c r="O1711" s="724">
        <f t="shared" si="156"/>
        <v>0</v>
      </c>
      <c r="P1711" s="724">
        <f t="shared" si="157"/>
        <v>0</v>
      </c>
      <c r="Q1711" s="674"/>
    </row>
    <row r="1712" spans="2:17">
      <c r="B1712" s="330"/>
      <c r="C1712" s="720">
        <f>IF(D1649="","-",+C1711+1)</f>
        <v>2072</v>
      </c>
      <c r="D1712" s="673">
        <f t="shared" si="158"/>
        <v>0</v>
      </c>
      <c r="E1712" s="726">
        <f t="shared" si="159"/>
        <v>0</v>
      </c>
      <c r="F1712" s="726">
        <f t="shared" si="152"/>
        <v>0</v>
      </c>
      <c r="G1712" s="673">
        <f t="shared" si="153"/>
        <v>0</v>
      </c>
      <c r="H1712" s="721">
        <f>+J1650*G1712+E1712</f>
        <v>0</v>
      </c>
      <c r="I1712" s="727">
        <f>+J1651*G1712+E1712</f>
        <v>0</v>
      </c>
      <c r="J1712" s="724">
        <f t="shared" si="154"/>
        <v>0</v>
      </c>
      <c r="K1712" s="724"/>
      <c r="L1712" s="728"/>
      <c r="M1712" s="724">
        <f t="shared" si="155"/>
        <v>0</v>
      </c>
      <c r="N1712" s="728"/>
      <c r="O1712" s="724">
        <f t="shared" si="156"/>
        <v>0</v>
      </c>
      <c r="P1712" s="724">
        <f t="shared" si="157"/>
        <v>0</v>
      </c>
      <c r="Q1712" s="674"/>
    </row>
    <row r="1713" spans="1:17">
      <c r="B1713" s="330"/>
      <c r="C1713" s="720">
        <f>IF(D1649="","-",+C1712+1)</f>
        <v>2073</v>
      </c>
      <c r="D1713" s="673">
        <f t="shared" si="158"/>
        <v>0</v>
      </c>
      <c r="E1713" s="726">
        <f t="shared" si="159"/>
        <v>0</v>
      </c>
      <c r="F1713" s="726">
        <f t="shared" si="152"/>
        <v>0</v>
      </c>
      <c r="G1713" s="673">
        <f t="shared" si="153"/>
        <v>0</v>
      </c>
      <c r="H1713" s="721">
        <f>+J1650*G1713+E1713</f>
        <v>0</v>
      </c>
      <c r="I1713" s="727">
        <f>+J1651*G1713+E1713</f>
        <v>0</v>
      </c>
      <c r="J1713" s="724">
        <f t="shared" si="154"/>
        <v>0</v>
      </c>
      <c r="K1713" s="724"/>
      <c r="L1713" s="728"/>
      <c r="M1713" s="724">
        <f t="shared" si="155"/>
        <v>0</v>
      </c>
      <c r="N1713" s="728"/>
      <c r="O1713" s="724">
        <f t="shared" si="156"/>
        <v>0</v>
      </c>
      <c r="P1713" s="724">
        <f t="shared" si="157"/>
        <v>0</v>
      </c>
      <c r="Q1713" s="674"/>
    </row>
    <row r="1714" spans="1:17" ht="13.5" thickBot="1">
      <c r="B1714" s="330"/>
      <c r="C1714" s="730">
        <f>IF(D1649="","-",+C1713+1)</f>
        <v>2074</v>
      </c>
      <c r="D1714" s="731">
        <f t="shared" si="158"/>
        <v>0</v>
      </c>
      <c r="E1714" s="1309">
        <f t="shared" si="159"/>
        <v>0</v>
      </c>
      <c r="F1714" s="732">
        <f t="shared" si="152"/>
        <v>0</v>
      </c>
      <c r="G1714" s="731">
        <f t="shared" si="153"/>
        <v>0</v>
      </c>
      <c r="H1714" s="733">
        <f>+J1650*G1714+E1714</f>
        <v>0</v>
      </c>
      <c r="I1714" s="733">
        <f>+J1651*G1714+E1714</f>
        <v>0</v>
      </c>
      <c r="J1714" s="734">
        <f t="shared" si="154"/>
        <v>0</v>
      </c>
      <c r="K1714" s="724"/>
      <c r="L1714" s="735"/>
      <c r="M1714" s="734">
        <f t="shared" si="155"/>
        <v>0</v>
      </c>
      <c r="N1714" s="735"/>
      <c r="O1714" s="734">
        <f t="shared" si="156"/>
        <v>0</v>
      </c>
      <c r="P1714" s="734">
        <f t="shared" si="157"/>
        <v>0</v>
      </c>
      <c r="Q1714" s="674"/>
    </row>
    <row r="1715" spans="1:17">
      <c r="B1715" s="330"/>
      <c r="C1715" s="673" t="s">
        <v>288</v>
      </c>
      <c r="D1715" s="669"/>
      <c r="E1715" s="669">
        <f>SUM(E1655:E1714)</f>
        <v>0</v>
      </c>
      <c r="F1715" s="669"/>
      <c r="G1715" s="669"/>
      <c r="H1715" s="669">
        <f>SUM(H1655:H1714)</f>
        <v>0</v>
      </c>
      <c r="I1715" s="669">
        <f>SUM(I1655:I1714)</f>
        <v>0</v>
      </c>
      <c r="J1715" s="669">
        <f>SUM(J1655:J1714)</f>
        <v>0</v>
      </c>
      <c r="K1715" s="669"/>
      <c r="L1715" s="669"/>
      <c r="M1715" s="669"/>
      <c r="N1715" s="669"/>
      <c r="O1715" s="669"/>
      <c r="Q1715" s="669"/>
    </row>
    <row r="1716" spans="1:17">
      <c r="B1716" s="330"/>
      <c r="D1716" s="563"/>
      <c r="E1716" s="542"/>
      <c r="F1716" s="542"/>
      <c r="G1716" s="542"/>
      <c r="H1716" s="542"/>
      <c r="I1716" s="646"/>
      <c r="J1716" s="646"/>
      <c r="K1716" s="669"/>
      <c r="L1716" s="646"/>
      <c r="M1716" s="646"/>
      <c r="N1716" s="646"/>
      <c r="O1716" s="646"/>
      <c r="Q1716" s="669"/>
    </row>
    <row r="1717" spans="1:17">
      <c r="B1717" s="330"/>
      <c r="C1717" s="542" t="s">
        <v>595</v>
      </c>
      <c r="D1717" s="563"/>
      <c r="E1717" s="542"/>
      <c r="F1717" s="542"/>
      <c r="G1717" s="542"/>
      <c r="H1717" s="542"/>
      <c r="I1717" s="646"/>
      <c r="J1717" s="646"/>
      <c r="K1717" s="669"/>
      <c r="L1717" s="646"/>
      <c r="M1717" s="646"/>
      <c r="N1717" s="646"/>
      <c r="O1717" s="646"/>
      <c r="Q1717" s="669"/>
    </row>
    <row r="1718" spans="1:17">
      <c r="B1718" s="330"/>
      <c r="D1718" s="563"/>
      <c r="E1718" s="542"/>
      <c r="F1718" s="542"/>
      <c r="G1718" s="542"/>
      <c r="H1718" s="542"/>
      <c r="I1718" s="646"/>
      <c r="J1718" s="646"/>
      <c r="K1718" s="669"/>
      <c r="L1718" s="646"/>
      <c r="M1718" s="646"/>
      <c r="N1718" s="646"/>
      <c r="O1718" s="646"/>
      <c r="Q1718" s="669"/>
    </row>
    <row r="1719" spans="1:17">
      <c r="B1719" s="330"/>
      <c r="C1719" s="576" t="s">
        <v>596</v>
      </c>
      <c r="D1719" s="673"/>
      <c r="E1719" s="673"/>
      <c r="F1719" s="673"/>
      <c r="G1719" s="673"/>
      <c r="H1719" s="669"/>
      <c r="I1719" s="669"/>
      <c r="J1719" s="674"/>
      <c r="K1719" s="674"/>
      <c r="L1719" s="674"/>
      <c r="M1719" s="674"/>
      <c r="N1719" s="674"/>
      <c r="O1719" s="674"/>
      <c r="Q1719" s="674"/>
    </row>
    <row r="1720" spans="1:17">
      <c r="B1720" s="330"/>
      <c r="C1720" s="576" t="s">
        <v>476</v>
      </c>
      <c r="D1720" s="673"/>
      <c r="E1720" s="673"/>
      <c r="F1720" s="673"/>
      <c r="G1720" s="673"/>
      <c r="H1720" s="669"/>
      <c r="I1720" s="669"/>
      <c r="J1720" s="674"/>
      <c r="K1720" s="674"/>
      <c r="L1720" s="674"/>
      <c r="M1720" s="674"/>
      <c r="N1720" s="674"/>
      <c r="O1720" s="674"/>
      <c r="Q1720" s="674"/>
    </row>
    <row r="1721" spans="1:17">
      <c r="B1721" s="330"/>
      <c r="C1721" s="576" t="s">
        <v>289</v>
      </c>
      <c r="D1721" s="673"/>
      <c r="E1721" s="673"/>
      <c r="F1721" s="673"/>
      <c r="G1721" s="673"/>
      <c r="H1721" s="669"/>
      <c r="I1721" s="669"/>
      <c r="J1721" s="674"/>
      <c r="K1721" s="674"/>
      <c r="L1721" s="674"/>
      <c r="M1721" s="674"/>
      <c r="N1721" s="674"/>
      <c r="O1721" s="674"/>
      <c r="Q1721" s="674"/>
    </row>
    <row r="1722" spans="1:17" ht="20.25">
      <c r="A1722" s="675" t="s">
        <v>764</v>
      </c>
      <c r="B1722" s="542"/>
      <c r="C1722" s="655"/>
      <c r="D1722" s="563"/>
      <c r="E1722" s="542"/>
      <c r="F1722" s="645"/>
      <c r="G1722" s="645"/>
      <c r="H1722" s="542"/>
      <c r="I1722" s="646"/>
      <c r="L1722" s="676"/>
      <c r="M1722" s="676"/>
      <c r="N1722" s="676"/>
      <c r="O1722" s="591" t="str">
        <f>"Page "&amp;SUM(Q$3:Q1722)&amp;" of "</f>
        <v xml:space="preserve">Page 21 of </v>
      </c>
      <c r="P1722" s="592">
        <f>COUNT(Q$8:Q$58212)</f>
        <v>23</v>
      </c>
      <c r="Q1722" s="756">
        <v>1</v>
      </c>
    </row>
    <row r="1723" spans="1:17">
      <c r="B1723" s="542"/>
      <c r="C1723" s="542"/>
      <c r="D1723" s="563"/>
      <c r="E1723" s="542"/>
      <c r="F1723" s="542"/>
      <c r="G1723" s="542"/>
      <c r="H1723" s="542"/>
      <c r="I1723" s="646"/>
      <c r="J1723" s="542"/>
      <c r="K1723" s="588"/>
      <c r="Q1723" s="588"/>
    </row>
    <row r="1724" spans="1:17" ht="18">
      <c r="B1724" s="595" t="s">
        <v>174</v>
      </c>
      <c r="C1724" s="677" t="s">
        <v>290</v>
      </c>
      <c r="D1724" s="563"/>
      <c r="E1724" s="542"/>
      <c r="F1724" s="542"/>
      <c r="G1724" s="542"/>
      <c r="H1724" s="542"/>
      <c r="I1724" s="646"/>
      <c r="J1724" s="646"/>
      <c r="K1724" s="669"/>
      <c r="L1724" s="646"/>
      <c r="M1724" s="646"/>
      <c r="N1724" s="646"/>
      <c r="O1724" s="646"/>
      <c r="Q1724" s="669"/>
    </row>
    <row r="1725" spans="1:17" ht="18.75">
      <c r="B1725" s="595"/>
      <c r="C1725" s="594"/>
      <c r="D1725" s="563"/>
      <c r="E1725" s="542"/>
      <c r="F1725" s="542"/>
      <c r="G1725" s="542"/>
      <c r="H1725" s="542"/>
      <c r="I1725" s="646"/>
      <c r="J1725" s="646"/>
      <c r="K1725" s="669"/>
      <c r="L1725" s="646"/>
      <c r="M1725" s="646"/>
      <c r="N1725" s="646"/>
      <c r="O1725" s="646"/>
      <c r="Q1725" s="669"/>
    </row>
    <row r="1726" spans="1:17" ht="18.75">
      <c r="B1726" s="595"/>
      <c r="C1726" s="594" t="s">
        <v>291</v>
      </c>
      <c r="D1726" s="563"/>
      <c r="E1726" s="542"/>
      <c r="F1726" s="542"/>
      <c r="G1726" s="542"/>
      <c r="H1726" s="542"/>
      <c r="I1726" s="646"/>
      <c r="J1726" s="646"/>
      <c r="K1726" s="669"/>
      <c r="L1726" s="646"/>
      <c r="M1726" s="646"/>
      <c r="N1726" s="646"/>
      <c r="O1726" s="646"/>
      <c r="Q1726" s="669"/>
    </row>
    <row r="1727" spans="1:17" ht="15.75" thickBot="1">
      <c r="B1727" s="330"/>
      <c r="C1727" s="396"/>
      <c r="D1727" s="563"/>
      <c r="E1727" s="542"/>
      <c r="F1727" s="542"/>
      <c r="G1727" s="542"/>
      <c r="H1727" s="542"/>
      <c r="I1727" s="646"/>
      <c r="J1727" s="646"/>
      <c r="K1727" s="669"/>
      <c r="L1727" s="646"/>
      <c r="M1727" s="646"/>
      <c r="N1727" s="646"/>
      <c r="O1727" s="646"/>
      <c r="Q1727" s="669"/>
    </row>
    <row r="1728" spans="1:17" ht="15.75">
      <c r="B1728" s="330"/>
      <c r="C1728" s="596" t="s">
        <v>292</v>
      </c>
      <c r="D1728" s="563"/>
      <c r="E1728" s="542"/>
      <c r="F1728" s="542"/>
      <c r="G1728" s="542"/>
      <c r="H1728" s="864"/>
      <c r="I1728" s="542" t="s">
        <v>271</v>
      </c>
      <c r="J1728" s="542"/>
      <c r="K1728" s="588"/>
      <c r="L1728" s="757">
        <f>+J1734</f>
        <v>2021</v>
      </c>
      <c r="M1728" s="739" t="s">
        <v>254</v>
      </c>
      <c r="N1728" s="739" t="s">
        <v>255</v>
      </c>
      <c r="O1728" s="740" t="s">
        <v>256</v>
      </c>
      <c r="Q1728" s="588"/>
    </row>
    <row r="1729" spans="1:17" ht="15.75">
      <c r="B1729" s="330"/>
      <c r="C1729" s="596"/>
      <c r="D1729" s="563"/>
      <c r="E1729" s="542"/>
      <c r="F1729" s="542"/>
      <c r="H1729" s="542"/>
      <c r="I1729" s="681"/>
      <c r="J1729" s="681"/>
      <c r="K1729" s="682"/>
      <c r="L1729" s="758" t="s">
        <v>455</v>
      </c>
      <c r="M1729" s="759">
        <f>VLOOKUP(J1734,C1741:P1800,10)</f>
        <v>93566.319298246177</v>
      </c>
      <c r="N1729" s="759">
        <f>VLOOKUP(J1734,C1741:P1800,12)</f>
        <v>93566.319298246177</v>
      </c>
      <c r="O1729" s="760">
        <f>+N1729-M1729</f>
        <v>0</v>
      </c>
      <c r="Q1729" s="682"/>
    </row>
    <row r="1730" spans="1:17">
      <c r="B1730" s="330"/>
      <c r="C1730" s="684" t="s">
        <v>293</v>
      </c>
      <c r="D1730" s="1703" t="s">
        <v>965</v>
      </c>
      <c r="E1730" s="1703"/>
      <c r="F1730" s="1703"/>
      <c r="G1730" s="1718" t="s">
        <v>114</v>
      </c>
      <c r="H1730" s="1718"/>
      <c r="I1730" s="1718"/>
      <c r="J1730" s="646"/>
      <c r="K1730" s="669"/>
      <c r="L1730" s="758" t="s">
        <v>456</v>
      </c>
      <c r="M1730" s="761">
        <f>VLOOKUP(J1734,C1741:P1800,6)</f>
        <v>99179.095423232851</v>
      </c>
      <c r="N1730" s="761">
        <f>VLOOKUP(J1734,C1741:P1800,7)</f>
        <v>99179.095423232851</v>
      </c>
      <c r="O1730" s="762">
        <f>+N1730-M1730</f>
        <v>0</v>
      </c>
      <c r="Q1730" s="669"/>
    </row>
    <row r="1731" spans="1:17" ht="13.5" thickBot="1">
      <c r="B1731" s="330"/>
      <c r="C1731" s="686"/>
      <c r="D1731" s="690" t="s">
        <v>114</v>
      </c>
      <c r="E1731" s="688"/>
      <c r="F1731" s="688"/>
      <c r="G1731" s="688"/>
      <c r="H1731" s="688"/>
      <c r="I1731" s="688"/>
      <c r="J1731" s="646"/>
      <c r="K1731" s="669"/>
      <c r="L1731" s="705" t="s">
        <v>457</v>
      </c>
      <c r="M1731" s="763">
        <f>+M1730-M1729</f>
        <v>5612.7761249866744</v>
      </c>
      <c r="N1731" s="763">
        <f>+N1730-N1729</f>
        <v>5612.7761249866744</v>
      </c>
      <c r="O1731" s="764">
        <f>+O1730-O1729</f>
        <v>0</v>
      </c>
      <c r="Q1731" s="669"/>
    </row>
    <row r="1732" spans="1:17" ht="13.5" thickBot="1">
      <c r="B1732" s="330"/>
      <c r="C1732" s="689"/>
      <c r="D1732" s="690"/>
      <c r="E1732" s="688"/>
      <c r="F1732" s="688"/>
      <c r="G1732" s="688"/>
      <c r="H1732" s="688"/>
      <c r="I1732" s="688"/>
      <c r="J1732" s="688"/>
      <c r="K1732" s="691"/>
      <c r="L1732" s="688"/>
      <c r="M1732" s="688"/>
      <c r="N1732" s="688"/>
      <c r="O1732" s="688"/>
      <c r="P1732" s="576"/>
      <c r="Q1732" s="691"/>
    </row>
    <row r="1733" spans="1:17" ht="13.5" thickBot="1">
      <c r="B1733" s="330"/>
      <c r="C1733" s="692" t="s">
        <v>294</v>
      </c>
      <c r="D1733" s="693"/>
      <c r="E1733" s="693"/>
      <c r="F1733" s="693"/>
      <c r="G1733" s="693"/>
      <c r="H1733" s="693"/>
      <c r="I1733" s="693"/>
      <c r="J1733" s="693"/>
      <c r="K1733" s="695"/>
      <c r="P1733" s="696"/>
      <c r="Q1733" s="695"/>
    </row>
    <row r="1734" spans="1:17" ht="15">
      <c r="A1734" s="1310"/>
      <c r="B1734" s="330"/>
      <c r="C1734" s="697" t="s">
        <v>272</v>
      </c>
      <c r="D1734" s="1253">
        <v>598618.88</v>
      </c>
      <c r="E1734" s="655" t="s">
        <v>273</v>
      </c>
      <c r="H1734" s="698"/>
      <c r="I1734" s="698"/>
      <c r="J1734" s="1451">
        <f>$J$95</f>
        <v>2021</v>
      </c>
      <c r="K1734" s="586"/>
      <c r="L1734" s="1717" t="s">
        <v>274</v>
      </c>
      <c r="M1734" s="1717"/>
      <c r="N1734" s="1717"/>
      <c r="O1734" s="1717"/>
      <c r="P1734" s="588"/>
      <c r="Q1734" s="586"/>
    </row>
    <row r="1735" spans="1:17">
      <c r="A1735" s="1310"/>
      <c r="B1735" s="330"/>
      <c r="C1735" s="697" t="s">
        <v>275</v>
      </c>
      <c r="D1735" s="865">
        <v>2018</v>
      </c>
      <c r="E1735" s="697" t="s">
        <v>276</v>
      </c>
      <c r="F1735" s="698"/>
      <c r="G1735" s="698"/>
      <c r="I1735" s="330"/>
      <c r="J1735" s="867">
        <v>0</v>
      </c>
      <c r="K1735" s="700"/>
      <c r="L1735" s="669" t="s">
        <v>475</v>
      </c>
      <c r="P1735" s="588"/>
      <c r="Q1735" s="700"/>
    </row>
    <row r="1736" spans="1:17">
      <c r="A1736" s="1310"/>
      <c r="B1736" s="330"/>
      <c r="C1736" s="697" t="s">
        <v>277</v>
      </c>
      <c r="D1736" s="1253">
        <v>6</v>
      </c>
      <c r="E1736" s="697" t="s">
        <v>278</v>
      </c>
      <c r="F1736" s="698"/>
      <c r="G1736" s="698"/>
      <c r="I1736" s="330"/>
      <c r="J1736" s="701">
        <f>$F$70</f>
        <v>0.15341253840442806</v>
      </c>
      <c r="K1736" s="702"/>
      <c r="L1736" s="542" t="str">
        <f>"          INPUT TRUE-UP ARR (WITH &amp; WITHOUT INCENTIVES) FROM EACH PRIOR YEAR"</f>
        <v xml:space="preserve">          INPUT TRUE-UP ARR (WITH &amp; WITHOUT INCENTIVES) FROM EACH PRIOR YEAR</v>
      </c>
      <c r="P1736" s="588"/>
      <c r="Q1736" s="702"/>
    </row>
    <row r="1737" spans="1:17">
      <c r="A1737" s="1310"/>
      <c r="B1737" s="330"/>
      <c r="C1737" s="697" t="s">
        <v>279</v>
      </c>
      <c r="D1737" s="703">
        <f>H79</f>
        <v>44</v>
      </c>
      <c r="E1737" s="697" t="s">
        <v>280</v>
      </c>
      <c r="F1737" s="698"/>
      <c r="G1737" s="698"/>
      <c r="I1737" s="330"/>
      <c r="J1737" s="701">
        <f>IF(H1728="",J1736,$F$69)</f>
        <v>0.15341253840442806</v>
      </c>
      <c r="K1737" s="704"/>
      <c r="L1737" s="542" t="s">
        <v>362</v>
      </c>
      <c r="M1737" s="704"/>
      <c r="N1737" s="704"/>
      <c r="O1737" s="704"/>
      <c r="P1737" s="588"/>
      <c r="Q1737" s="704"/>
    </row>
    <row r="1738" spans="1:17" ht="13.5" thickBot="1">
      <c r="A1738" s="1310"/>
      <c r="B1738" s="330"/>
      <c r="C1738" s="697" t="s">
        <v>281</v>
      </c>
      <c r="D1738" s="1316" t="s">
        <v>933</v>
      </c>
      <c r="E1738" s="705" t="s">
        <v>282</v>
      </c>
      <c r="F1738" s="706"/>
      <c r="G1738" s="706"/>
      <c r="H1738" s="707"/>
      <c r="I1738" s="707"/>
      <c r="J1738" s="685">
        <f>IF(D1734=0,0,D1734/D1737)</f>
        <v>13604.974545454546</v>
      </c>
      <c r="K1738" s="669"/>
      <c r="L1738" s="669" t="s">
        <v>363</v>
      </c>
      <c r="M1738" s="669"/>
      <c r="N1738" s="669"/>
      <c r="O1738" s="669"/>
      <c r="P1738" s="588"/>
      <c r="Q1738" s="669"/>
    </row>
    <row r="1739" spans="1:17" ht="38.25">
      <c r="A1739" s="529"/>
      <c r="B1739" s="529"/>
      <c r="C1739" s="708" t="s">
        <v>272</v>
      </c>
      <c r="D1739" s="709" t="s">
        <v>283</v>
      </c>
      <c r="E1739" s="710" t="s">
        <v>284</v>
      </c>
      <c r="F1739" s="709" t="s">
        <v>285</v>
      </c>
      <c r="G1739" s="709" t="s">
        <v>458</v>
      </c>
      <c r="H1739" s="710" t="s">
        <v>356</v>
      </c>
      <c r="I1739" s="711" t="s">
        <v>356</v>
      </c>
      <c r="J1739" s="708" t="s">
        <v>295</v>
      </c>
      <c r="K1739" s="712"/>
      <c r="L1739" s="710" t="s">
        <v>358</v>
      </c>
      <c r="M1739" s="710" t="s">
        <v>364</v>
      </c>
      <c r="N1739" s="710" t="s">
        <v>358</v>
      </c>
      <c r="O1739" s="710" t="s">
        <v>366</v>
      </c>
      <c r="P1739" s="710" t="s">
        <v>286</v>
      </c>
      <c r="Q1739" s="713"/>
    </row>
    <row r="1740" spans="1:17" ht="13.5" thickBot="1">
      <c r="B1740" s="330"/>
      <c r="C1740" s="714" t="s">
        <v>177</v>
      </c>
      <c r="D1740" s="715" t="s">
        <v>178</v>
      </c>
      <c r="E1740" s="714" t="s">
        <v>37</v>
      </c>
      <c r="F1740" s="715" t="s">
        <v>178</v>
      </c>
      <c r="G1740" s="715" t="s">
        <v>178</v>
      </c>
      <c r="H1740" s="716" t="s">
        <v>298</v>
      </c>
      <c r="I1740" s="717" t="s">
        <v>300</v>
      </c>
      <c r="J1740" s="718" t="s">
        <v>389</v>
      </c>
      <c r="K1740" s="719"/>
      <c r="L1740" s="716" t="s">
        <v>287</v>
      </c>
      <c r="M1740" s="716" t="s">
        <v>287</v>
      </c>
      <c r="N1740" s="716" t="s">
        <v>467</v>
      </c>
      <c r="O1740" s="716" t="s">
        <v>467</v>
      </c>
      <c r="P1740" s="716" t="s">
        <v>467</v>
      </c>
      <c r="Q1740" s="586"/>
    </row>
    <row r="1741" spans="1:17">
      <c r="B1741" s="330"/>
      <c r="C1741" s="720">
        <f>IF(D1735= "","-",D1735)</f>
        <v>2018</v>
      </c>
      <c r="D1741" s="1455">
        <f>+D1734</f>
        <v>598618.88</v>
      </c>
      <c r="E1741" s="721">
        <f>+J1738/12*(12-D1736)</f>
        <v>6802.4872727272723</v>
      </c>
      <c r="F1741" s="765">
        <f t="shared" ref="F1741:F1800" si="160">+D1741-E1741</f>
        <v>591816.3927272727</v>
      </c>
      <c r="G1741" s="673">
        <f t="shared" ref="G1741:G1800" si="161">+(D1741+F1741)/2</f>
        <v>595217.63636363635</v>
      </c>
      <c r="H1741" s="722">
        <f>+J1736*G1741+E1741</f>
        <v>98116.335770356527</v>
      </c>
      <c r="I1741" s="723">
        <f>+J1737*G1741+E1741</f>
        <v>98116.335770356527</v>
      </c>
      <c r="J1741" s="724">
        <f t="shared" ref="J1741:J1800" si="162">+I1741-H1741</f>
        <v>0</v>
      </c>
      <c r="K1741" s="724"/>
      <c r="L1741" s="728">
        <v>8836</v>
      </c>
      <c r="M1741" s="766">
        <f t="shared" ref="M1741:M1800" si="163">IF(L1741&lt;&gt;0,+H1741-L1741,0)</f>
        <v>89280.335770356527</v>
      </c>
      <c r="N1741" s="728">
        <v>8836</v>
      </c>
      <c r="O1741" s="766">
        <f t="shared" ref="O1741:O1800" si="164">IF(N1741&lt;&gt;0,+I1741-N1741,0)</f>
        <v>89280.335770356527</v>
      </c>
      <c r="P1741" s="766">
        <f t="shared" ref="P1741:P1800" si="165">+O1741-M1741</f>
        <v>0</v>
      </c>
      <c r="Q1741" s="674"/>
    </row>
    <row r="1742" spans="1:17">
      <c r="B1742" s="330"/>
      <c r="C1742" s="720">
        <f>IF(D1735="","-",+C1741+1)</f>
        <v>2019</v>
      </c>
      <c r="D1742" s="673">
        <f t="shared" ref="D1742:D1800" si="166">F1741</f>
        <v>591816.3927272727</v>
      </c>
      <c r="E1742" s="726">
        <f>IF(D1742&gt;$J$1738,$J$1738,D1742)</f>
        <v>13604.974545454546</v>
      </c>
      <c r="F1742" s="726">
        <f t="shared" si="160"/>
        <v>578211.41818181821</v>
      </c>
      <c r="G1742" s="673">
        <f t="shared" si="161"/>
        <v>585013.90545454551</v>
      </c>
      <c r="H1742" s="721">
        <f>+J1736*G1742+E1742</f>
        <v>103353.44278312445</v>
      </c>
      <c r="I1742" s="727">
        <f>+J1737*G1742+E1742</f>
        <v>103353.44278312445</v>
      </c>
      <c r="J1742" s="724">
        <f t="shared" si="162"/>
        <v>0</v>
      </c>
      <c r="K1742" s="724"/>
      <c r="L1742" s="1452">
        <v>2185</v>
      </c>
      <c r="M1742" s="724">
        <f t="shared" si="163"/>
        <v>101168.44278312445</v>
      </c>
      <c r="N1742" s="1452">
        <v>2185</v>
      </c>
      <c r="O1742" s="724">
        <f t="shared" si="164"/>
        <v>101168.44278312445</v>
      </c>
      <c r="P1742" s="724">
        <f t="shared" si="165"/>
        <v>0</v>
      </c>
      <c r="Q1742" s="674"/>
    </row>
    <row r="1743" spans="1:17">
      <c r="B1743" s="330"/>
      <c r="C1743" s="720">
        <f>IF(D1735="","-",+C1742+1)</f>
        <v>2020</v>
      </c>
      <c r="D1743" s="673">
        <f t="shared" si="166"/>
        <v>578211.41818181821</v>
      </c>
      <c r="E1743" s="726">
        <f t="shared" ref="E1743:E1800" si="167">IF(D1743&gt;$J$1738,$J$1738,D1743)</f>
        <v>13604.974545454546</v>
      </c>
      <c r="F1743" s="726">
        <f t="shared" si="160"/>
        <v>564606.44363636372</v>
      </c>
      <c r="G1743" s="673">
        <f t="shared" si="161"/>
        <v>571408.93090909091</v>
      </c>
      <c r="H1743" s="721">
        <f>+J1736*G1743+E1743</f>
        <v>101266.26910317864</v>
      </c>
      <c r="I1743" s="727">
        <f>+J1737*G1743+E1743</f>
        <v>101266.26910317864</v>
      </c>
      <c r="J1743" s="724">
        <f t="shared" si="162"/>
        <v>0</v>
      </c>
      <c r="K1743" s="724"/>
      <c r="L1743" s="728">
        <v>97920.125744351099</v>
      </c>
      <c r="M1743" s="724">
        <f t="shared" si="163"/>
        <v>3346.1433588275395</v>
      </c>
      <c r="N1743" s="1548">
        <v>97920.125744351099</v>
      </c>
      <c r="O1743" s="724">
        <f t="shared" si="164"/>
        <v>3346.1433588275395</v>
      </c>
      <c r="P1743" s="724">
        <f t="shared" si="165"/>
        <v>0</v>
      </c>
      <c r="Q1743" s="674"/>
    </row>
    <row r="1744" spans="1:17">
      <c r="B1744" s="330"/>
      <c r="C1744" s="720">
        <f>IF(D1735="","-",+C1743+1)</f>
        <v>2021</v>
      </c>
      <c r="D1744" s="1269">
        <f t="shared" si="166"/>
        <v>564606.44363636372</v>
      </c>
      <c r="E1744" s="726">
        <f t="shared" si="167"/>
        <v>13604.974545454546</v>
      </c>
      <c r="F1744" s="726">
        <f t="shared" si="160"/>
        <v>551001.46909090923</v>
      </c>
      <c r="G1744" s="673">
        <f t="shared" si="161"/>
        <v>557803.95636363653</v>
      </c>
      <c r="H1744" s="721">
        <f>+J1736*G1744+E1744</f>
        <v>99179.095423232851</v>
      </c>
      <c r="I1744" s="727">
        <f>+J1737*G1744+E1744</f>
        <v>99179.095423232851</v>
      </c>
      <c r="J1744" s="724">
        <f t="shared" si="162"/>
        <v>0</v>
      </c>
      <c r="K1744" s="724"/>
      <c r="L1744" s="728">
        <v>93566.319298246177</v>
      </c>
      <c r="M1744" s="724">
        <f t="shared" si="163"/>
        <v>5612.7761249866744</v>
      </c>
      <c r="N1744" s="1548">
        <v>93566.319298246177</v>
      </c>
      <c r="O1744" s="724">
        <f t="shared" si="164"/>
        <v>5612.7761249866744</v>
      </c>
      <c r="P1744" s="724">
        <f t="shared" si="165"/>
        <v>0</v>
      </c>
      <c r="Q1744" s="674"/>
    </row>
    <row r="1745" spans="2:17">
      <c r="B1745" s="330"/>
      <c r="C1745" s="720">
        <f>IF(D1735="","-",+C1744+1)</f>
        <v>2022</v>
      </c>
      <c r="D1745" s="1269">
        <f t="shared" si="166"/>
        <v>551001.46909090923</v>
      </c>
      <c r="E1745" s="726">
        <f t="shared" si="167"/>
        <v>13604.974545454546</v>
      </c>
      <c r="F1745" s="726">
        <f t="shared" si="160"/>
        <v>537396.49454545474</v>
      </c>
      <c r="G1745" s="673">
        <f t="shared" si="161"/>
        <v>544198.98181818193</v>
      </c>
      <c r="H1745" s="721">
        <f>+J1736*G1745+E1745</f>
        <v>97091.921743287035</v>
      </c>
      <c r="I1745" s="727">
        <f>+J1737*G1745+E1745</f>
        <v>97091.921743287035</v>
      </c>
      <c r="J1745" s="724">
        <f t="shared" si="162"/>
        <v>0</v>
      </c>
      <c r="K1745" s="724"/>
      <c r="L1745" s="728">
        <v>0</v>
      </c>
      <c r="M1745" s="724">
        <f t="shared" si="163"/>
        <v>0</v>
      </c>
      <c r="N1745" s="728">
        <v>0</v>
      </c>
      <c r="O1745" s="724">
        <f t="shared" si="164"/>
        <v>0</v>
      </c>
      <c r="P1745" s="724">
        <f t="shared" si="165"/>
        <v>0</v>
      </c>
      <c r="Q1745" s="674"/>
    </row>
    <row r="1746" spans="2:17">
      <c r="B1746" s="330"/>
      <c r="C1746" s="720">
        <f>IF(D1735="","-",+C1745+1)</f>
        <v>2023</v>
      </c>
      <c r="D1746" s="1269">
        <f t="shared" si="166"/>
        <v>537396.49454545474</v>
      </c>
      <c r="E1746" s="726">
        <f t="shared" si="167"/>
        <v>13604.974545454546</v>
      </c>
      <c r="F1746" s="726">
        <f t="shared" si="160"/>
        <v>523791.52000000019</v>
      </c>
      <c r="G1746" s="673">
        <f t="shared" si="161"/>
        <v>530594.00727272744</v>
      </c>
      <c r="H1746" s="721">
        <f>+J1736*G1746+E1746</f>
        <v>95004.748063341234</v>
      </c>
      <c r="I1746" s="727">
        <f>+J1737*G1746+E1746</f>
        <v>95004.748063341234</v>
      </c>
      <c r="J1746" s="724">
        <f t="shared" si="162"/>
        <v>0</v>
      </c>
      <c r="K1746" s="724"/>
      <c r="L1746" s="728">
        <v>0</v>
      </c>
      <c r="M1746" s="724">
        <f t="shared" si="163"/>
        <v>0</v>
      </c>
      <c r="N1746" s="728">
        <v>0</v>
      </c>
      <c r="O1746" s="724">
        <f t="shared" si="164"/>
        <v>0</v>
      </c>
      <c r="P1746" s="724">
        <f t="shared" si="165"/>
        <v>0</v>
      </c>
      <c r="Q1746" s="674"/>
    </row>
    <row r="1747" spans="2:17">
      <c r="B1747" s="330"/>
      <c r="C1747" s="720">
        <f>IF(D1735="","-",+C1746+1)</f>
        <v>2024</v>
      </c>
      <c r="D1747" s="1269">
        <f t="shared" si="166"/>
        <v>523791.52000000019</v>
      </c>
      <c r="E1747" s="726">
        <f t="shared" si="167"/>
        <v>13604.974545454546</v>
      </c>
      <c r="F1747" s="726">
        <f t="shared" si="160"/>
        <v>510186.54545454565</v>
      </c>
      <c r="G1747" s="673">
        <f t="shared" si="161"/>
        <v>516989.03272727295</v>
      </c>
      <c r="H1747" s="721">
        <f>+J1736*G1747+E1747</f>
        <v>92917.574383395418</v>
      </c>
      <c r="I1747" s="727">
        <f>+J1737*G1747+E1747</f>
        <v>92917.574383395418</v>
      </c>
      <c r="J1747" s="724">
        <f t="shared" si="162"/>
        <v>0</v>
      </c>
      <c r="K1747" s="724"/>
      <c r="L1747" s="728">
        <v>0</v>
      </c>
      <c r="M1747" s="724">
        <f t="shared" si="163"/>
        <v>0</v>
      </c>
      <c r="N1747" s="728">
        <v>0</v>
      </c>
      <c r="O1747" s="724">
        <f t="shared" si="164"/>
        <v>0</v>
      </c>
      <c r="P1747" s="724">
        <f t="shared" si="165"/>
        <v>0</v>
      </c>
      <c r="Q1747" s="674"/>
    </row>
    <row r="1748" spans="2:17">
      <c r="B1748" s="330"/>
      <c r="C1748" s="720">
        <f>IF(D1735="","-",+C1747+1)</f>
        <v>2025</v>
      </c>
      <c r="D1748" s="673">
        <f t="shared" si="166"/>
        <v>510186.54545454565</v>
      </c>
      <c r="E1748" s="726">
        <f t="shared" si="167"/>
        <v>13604.974545454546</v>
      </c>
      <c r="F1748" s="726">
        <f t="shared" si="160"/>
        <v>496581.5709090911</v>
      </c>
      <c r="G1748" s="673">
        <f t="shared" si="161"/>
        <v>503384.05818181834</v>
      </c>
      <c r="H1748" s="721">
        <f>+J1736*G1748+E1748</f>
        <v>90830.400703449603</v>
      </c>
      <c r="I1748" s="727">
        <f>+J1737*G1748+E1748</f>
        <v>90830.400703449603</v>
      </c>
      <c r="J1748" s="724">
        <f t="shared" si="162"/>
        <v>0</v>
      </c>
      <c r="K1748" s="724"/>
      <c r="L1748" s="728">
        <v>0</v>
      </c>
      <c r="M1748" s="724">
        <f t="shared" si="163"/>
        <v>0</v>
      </c>
      <c r="N1748" s="728">
        <v>0</v>
      </c>
      <c r="O1748" s="724">
        <f t="shared" si="164"/>
        <v>0</v>
      </c>
      <c r="P1748" s="724">
        <f t="shared" si="165"/>
        <v>0</v>
      </c>
      <c r="Q1748" s="674"/>
    </row>
    <row r="1749" spans="2:17">
      <c r="B1749" s="330"/>
      <c r="C1749" s="720">
        <f>IF(D1735="","-",+C1748+1)</f>
        <v>2026</v>
      </c>
      <c r="D1749" s="673">
        <f t="shared" si="166"/>
        <v>496581.5709090911</v>
      </c>
      <c r="E1749" s="726">
        <f t="shared" si="167"/>
        <v>13604.974545454546</v>
      </c>
      <c r="F1749" s="726">
        <f t="shared" si="160"/>
        <v>482976.59636363655</v>
      </c>
      <c r="G1749" s="673">
        <f t="shared" si="161"/>
        <v>489779.08363636385</v>
      </c>
      <c r="H1749" s="721">
        <f>+J1736*G1749+E1749</f>
        <v>88743.227023503801</v>
      </c>
      <c r="I1749" s="727">
        <f>+J1737*G1749+E1749</f>
        <v>88743.227023503801</v>
      </c>
      <c r="J1749" s="724">
        <f t="shared" si="162"/>
        <v>0</v>
      </c>
      <c r="K1749" s="724"/>
      <c r="L1749" s="728">
        <v>0</v>
      </c>
      <c r="M1749" s="724">
        <f t="shared" si="163"/>
        <v>0</v>
      </c>
      <c r="N1749" s="728">
        <v>0</v>
      </c>
      <c r="O1749" s="724">
        <f t="shared" si="164"/>
        <v>0</v>
      </c>
      <c r="P1749" s="724">
        <f t="shared" si="165"/>
        <v>0</v>
      </c>
      <c r="Q1749" s="674"/>
    </row>
    <row r="1750" spans="2:17">
      <c r="B1750" s="330"/>
      <c r="C1750" s="1291">
        <f>IF(D1735="","-",+C1749+1)</f>
        <v>2027</v>
      </c>
      <c r="D1750" s="673">
        <f t="shared" si="166"/>
        <v>482976.59636363655</v>
      </c>
      <c r="E1750" s="726">
        <f t="shared" si="167"/>
        <v>13604.974545454546</v>
      </c>
      <c r="F1750" s="726">
        <f t="shared" si="160"/>
        <v>469371.621818182</v>
      </c>
      <c r="G1750" s="673">
        <f t="shared" si="161"/>
        <v>476174.10909090925</v>
      </c>
      <c r="H1750" s="721">
        <f>+J1736*G1750+E1750</f>
        <v>86656.053343557985</v>
      </c>
      <c r="I1750" s="727">
        <f>+J1737*G1750+E1750</f>
        <v>86656.053343557985</v>
      </c>
      <c r="J1750" s="724">
        <f t="shared" si="162"/>
        <v>0</v>
      </c>
      <c r="K1750" s="724"/>
      <c r="L1750" s="728">
        <v>0</v>
      </c>
      <c r="M1750" s="724">
        <f t="shared" si="163"/>
        <v>0</v>
      </c>
      <c r="N1750" s="728">
        <v>0</v>
      </c>
      <c r="O1750" s="724">
        <f t="shared" si="164"/>
        <v>0</v>
      </c>
      <c r="P1750" s="724">
        <f t="shared" si="165"/>
        <v>0</v>
      </c>
      <c r="Q1750" s="674"/>
    </row>
    <row r="1751" spans="2:17">
      <c r="B1751" s="330"/>
      <c r="C1751" s="720">
        <f>IF(D1735="","-",+C1750+1)</f>
        <v>2028</v>
      </c>
      <c r="D1751" s="673">
        <f t="shared" si="166"/>
        <v>469371.621818182</v>
      </c>
      <c r="E1751" s="726">
        <f t="shared" si="167"/>
        <v>13604.974545454546</v>
      </c>
      <c r="F1751" s="726">
        <f t="shared" si="160"/>
        <v>455766.64727272745</v>
      </c>
      <c r="G1751" s="673">
        <f t="shared" si="161"/>
        <v>462569.13454545476</v>
      </c>
      <c r="H1751" s="721">
        <f>+J1736*G1751+E1751</f>
        <v>84568.879663612184</v>
      </c>
      <c r="I1751" s="727">
        <f>+J1737*G1751+E1751</f>
        <v>84568.879663612184</v>
      </c>
      <c r="J1751" s="724">
        <f t="shared" si="162"/>
        <v>0</v>
      </c>
      <c r="K1751" s="724"/>
      <c r="L1751" s="728"/>
      <c r="M1751" s="724">
        <f t="shared" si="163"/>
        <v>0</v>
      </c>
      <c r="N1751" s="728"/>
      <c r="O1751" s="724">
        <f t="shared" si="164"/>
        <v>0</v>
      </c>
      <c r="P1751" s="724">
        <f t="shared" si="165"/>
        <v>0</v>
      </c>
      <c r="Q1751" s="674"/>
    </row>
    <row r="1752" spans="2:17">
      <c r="B1752" s="330"/>
      <c r="C1752" s="720">
        <f>IF(D1735="","-",+C1751+1)</f>
        <v>2029</v>
      </c>
      <c r="D1752" s="673">
        <f t="shared" si="166"/>
        <v>455766.64727272745</v>
      </c>
      <c r="E1752" s="726">
        <f t="shared" si="167"/>
        <v>13604.974545454546</v>
      </c>
      <c r="F1752" s="726">
        <f t="shared" si="160"/>
        <v>442161.6727272729</v>
      </c>
      <c r="G1752" s="673">
        <f t="shared" si="161"/>
        <v>448964.16000000015</v>
      </c>
      <c r="H1752" s="721">
        <f>+J1736*G1752+E1752</f>
        <v>82481.705983666354</v>
      </c>
      <c r="I1752" s="727">
        <f>+J1737*G1752+E1752</f>
        <v>82481.705983666354</v>
      </c>
      <c r="J1752" s="724">
        <f t="shared" si="162"/>
        <v>0</v>
      </c>
      <c r="K1752" s="724"/>
      <c r="L1752" s="728"/>
      <c r="M1752" s="724">
        <f t="shared" si="163"/>
        <v>0</v>
      </c>
      <c r="N1752" s="728"/>
      <c r="O1752" s="724">
        <f t="shared" si="164"/>
        <v>0</v>
      </c>
      <c r="P1752" s="724">
        <f t="shared" si="165"/>
        <v>0</v>
      </c>
      <c r="Q1752" s="674"/>
    </row>
    <row r="1753" spans="2:17">
      <c r="B1753" s="330"/>
      <c r="C1753" s="720">
        <f>IF(D1735="","-",+C1752+1)</f>
        <v>2030</v>
      </c>
      <c r="D1753" s="673">
        <f t="shared" si="166"/>
        <v>442161.6727272729</v>
      </c>
      <c r="E1753" s="726">
        <f t="shared" si="167"/>
        <v>13604.974545454546</v>
      </c>
      <c r="F1753" s="726">
        <f t="shared" si="160"/>
        <v>428556.69818181836</v>
      </c>
      <c r="G1753" s="673">
        <f t="shared" si="161"/>
        <v>435359.18545454566</v>
      </c>
      <c r="H1753" s="721">
        <f>+J1736*G1753+E1753</f>
        <v>80394.532303720553</v>
      </c>
      <c r="I1753" s="727">
        <f>+J1737*G1753+E1753</f>
        <v>80394.532303720553</v>
      </c>
      <c r="J1753" s="724">
        <f t="shared" si="162"/>
        <v>0</v>
      </c>
      <c r="K1753" s="724"/>
      <c r="L1753" s="728"/>
      <c r="M1753" s="724">
        <f t="shared" si="163"/>
        <v>0</v>
      </c>
      <c r="N1753" s="728"/>
      <c r="O1753" s="724">
        <f t="shared" si="164"/>
        <v>0</v>
      </c>
      <c r="P1753" s="724">
        <f t="shared" si="165"/>
        <v>0</v>
      </c>
      <c r="Q1753" s="674"/>
    </row>
    <row r="1754" spans="2:17">
      <c r="B1754" s="330"/>
      <c r="C1754" s="720">
        <f>IF(D1735="","-",+C1753+1)</f>
        <v>2031</v>
      </c>
      <c r="D1754" s="673">
        <f t="shared" si="166"/>
        <v>428556.69818181836</v>
      </c>
      <c r="E1754" s="726">
        <f t="shared" si="167"/>
        <v>13604.974545454546</v>
      </c>
      <c r="F1754" s="726">
        <f t="shared" si="160"/>
        <v>414951.72363636381</v>
      </c>
      <c r="G1754" s="673">
        <f t="shared" si="161"/>
        <v>421754.21090909105</v>
      </c>
      <c r="H1754" s="721">
        <f>+J1736*G1754+E1754</f>
        <v>78307.358623774722</v>
      </c>
      <c r="I1754" s="727">
        <f>+J1737*G1754+E1754</f>
        <v>78307.358623774722</v>
      </c>
      <c r="J1754" s="724">
        <f t="shared" si="162"/>
        <v>0</v>
      </c>
      <c r="K1754" s="724"/>
      <c r="L1754" s="728"/>
      <c r="M1754" s="724">
        <f t="shared" si="163"/>
        <v>0</v>
      </c>
      <c r="N1754" s="728"/>
      <c r="O1754" s="724">
        <f t="shared" si="164"/>
        <v>0</v>
      </c>
      <c r="P1754" s="724">
        <f t="shared" si="165"/>
        <v>0</v>
      </c>
      <c r="Q1754" s="674"/>
    </row>
    <row r="1755" spans="2:17">
      <c r="B1755" s="330"/>
      <c r="C1755" s="720">
        <f>IF(D1735="","-",+C1754+1)</f>
        <v>2032</v>
      </c>
      <c r="D1755" s="673">
        <f t="shared" si="166"/>
        <v>414951.72363636381</v>
      </c>
      <c r="E1755" s="726">
        <f t="shared" si="167"/>
        <v>13604.974545454546</v>
      </c>
      <c r="F1755" s="726">
        <f t="shared" si="160"/>
        <v>401346.74909090926</v>
      </c>
      <c r="G1755" s="673">
        <f t="shared" si="161"/>
        <v>408149.23636363656</v>
      </c>
      <c r="H1755" s="721">
        <f>+J1736*G1755+E1755</f>
        <v>76220.184943828921</v>
      </c>
      <c r="I1755" s="727">
        <f>+J1737*G1755+E1755</f>
        <v>76220.184943828921</v>
      </c>
      <c r="J1755" s="724">
        <f t="shared" si="162"/>
        <v>0</v>
      </c>
      <c r="K1755" s="724"/>
      <c r="L1755" s="728"/>
      <c r="M1755" s="724">
        <f t="shared" si="163"/>
        <v>0</v>
      </c>
      <c r="N1755" s="728"/>
      <c r="O1755" s="724">
        <f t="shared" si="164"/>
        <v>0</v>
      </c>
      <c r="P1755" s="724">
        <f t="shared" si="165"/>
        <v>0</v>
      </c>
      <c r="Q1755" s="674"/>
    </row>
    <row r="1756" spans="2:17">
      <c r="B1756" s="330"/>
      <c r="C1756" s="720">
        <f>IF(D1735="","-",+C1755+1)</f>
        <v>2033</v>
      </c>
      <c r="D1756" s="673">
        <f t="shared" si="166"/>
        <v>401346.74909090926</v>
      </c>
      <c r="E1756" s="726">
        <f t="shared" si="167"/>
        <v>13604.974545454546</v>
      </c>
      <c r="F1756" s="726">
        <f t="shared" si="160"/>
        <v>387741.77454545471</v>
      </c>
      <c r="G1756" s="673">
        <f t="shared" si="161"/>
        <v>394544.26181818196</v>
      </c>
      <c r="H1756" s="721">
        <f>+J1736*G1756+E1756</f>
        <v>74133.011263883105</v>
      </c>
      <c r="I1756" s="727">
        <f>+J1737*G1756+E1756</f>
        <v>74133.011263883105</v>
      </c>
      <c r="J1756" s="724">
        <f t="shared" si="162"/>
        <v>0</v>
      </c>
      <c r="K1756" s="724"/>
      <c r="L1756" s="728"/>
      <c r="M1756" s="724">
        <f t="shared" si="163"/>
        <v>0</v>
      </c>
      <c r="N1756" s="728"/>
      <c r="O1756" s="724">
        <f t="shared" si="164"/>
        <v>0</v>
      </c>
      <c r="P1756" s="724">
        <f t="shared" si="165"/>
        <v>0</v>
      </c>
      <c r="Q1756" s="674"/>
    </row>
    <row r="1757" spans="2:17">
      <c r="B1757" s="330"/>
      <c r="C1757" s="720">
        <f>IF(D1735="","-",+C1756+1)</f>
        <v>2034</v>
      </c>
      <c r="D1757" s="673">
        <f t="shared" si="166"/>
        <v>387741.77454545471</v>
      </c>
      <c r="E1757" s="726">
        <f t="shared" si="167"/>
        <v>13604.974545454546</v>
      </c>
      <c r="F1757" s="726">
        <f t="shared" si="160"/>
        <v>374136.80000000016</v>
      </c>
      <c r="G1757" s="673">
        <f t="shared" si="161"/>
        <v>380939.28727272747</v>
      </c>
      <c r="H1757" s="721">
        <f>+J1736*G1757+E1757</f>
        <v>72045.837583937304</v>
      </c>
      <c r="I1757" s="727">
        <f>+J1737*G1757+E1757</f>
        <v>72045.837583937304</v>
      </c>
      <c r="J1757" s="724">
        <f t="shared" si="162"/>
        <v>0</v>
      </c>
      <c r="K1757" s="724"/>
      <c r="L1757" s="728"/>
      <c r="M1757" s="724">
        <f t="shared" si="163"/>
        <v>0</v>
      </c>
      <c r="N1757" s="728"/>
      <c r="O1757" s="724">
        <f t="shared" si="164"/>
        <v>0</v>
      </c>
      <c r="P1757" s="724">
        <f t="shared" si="165"/>
        <v>0</v>
      </c>
      <c r="Q1757" s="674"/>
    </row>
    <row r="1758" spans="2:17">
      <c r="B1758" s="330"/>
      <c r="C1758" s="720">
        <f>IF(D1735="","-",+C1757+1)</f>
        <v>2035</v>
      </c>
      <c r="D1758" s="673">
        <f t="shared" si="166"/>
        <v>374136.80000000016</v>
      </c>
      <c r="E1758" s="726">
        <f t="shared" si="167"/>
        <v>13604.974545454546</v>
      </c>
      <c r="F1758" s="726">
        <f t="shared" si="160"/>
        <v>360531.82545454561</v>
      </c>
      <c r="G1758" s="673">
        <f t="shared" si="161"/>
        <v>367334.31272727286</v>
      </c>
      <c r="H1758" s="721">
        <f>+J1736*G1758+E1758</f>
        <v>69958.663903991473</v>
      </c>
      <c r="I1758" s="727">
        <f>+J1737*G1758+E1758</f>
        <v>69958.663903991473</v>
      </c>
      <c r="J1758" s="724">
        <f t="shared" si="162"/>
        <v>0</v>
      </c>
      <c r="K1758" s="724"/>
      <c r="L1758" s="728"/>
      <c r="M1758" s="724">
        <f t="shared" si="163"/>
        <v>0</v>
      </c>
      <c r="N1758" s="728"/>
      <c r="O1758" s="724">
        <f t="shared" si="164"/>
        <v>0</v>
      </c>
      <c r="P1758" s="724">
        <f t="shared" si="165"/>
        <v>0</v>
      </c>
      <c r="Q1758" s="674"/>
    </row>
    <row r="1759" spans="2:17">
      <c r="B1759" s="330"/>
      <c r="C1759" s="720">
        <f>IF(D1735="","-",+C1758+1)</f>
        <v>2036</v>
      </c>
      <c r="D1759" s="673">
        <f t="shared" si="166"/>
        <v>360531.82545454561</v>
      </c>
      <c r="E1759" s="726">
        <f t="shared" si="167"/>
        <v>13604.974545454546</v>
      </c>
      <c r="F1759" s="726">
        <f t="shared" si="160"/>
        <v>346926.85090909107</v>
      </c>
      <c r="G1759" s="673">
        <f t="shared" si="161"/>
        <v>353729.33818181837</v>
      </c>
      <c r="H1759" s="721">
        <f>+J1736*G1759+E1759</f>
        <v>67871.490224045672</v>
      </c>
      <c r="I1759" s="727">
        <f>+J1737*G1759+E1759</f>
        <v>67871.490224045672</v>
      </c>
      <c r="J1759" s="724">
        <f t="shared" si="162"/>
        <v>0</v>
      </c>
      <c r="K1759" s="724"/>
      <c r="L1759" s="728"/>
      <c r="M1759" s="724">
        <f t="shared" si="163"/>
        <v>0</v>
      </c>
      <c r="N1759" s="728"/>
      <c r="O1759" s="724">
        <f t="shared" si="164"/>
        <v>0</v>
      </c>
      <c r="P1759" s="724">
        <f t="shared" si="165"/>
        <v>0</v>
      </c>
      <c r="Q1759" s="674"/>
    </row>
    <row r="1760" spans="2:17">
      <c r="B1760" s="330"/>
      <c r="C1760" s="720">
        <f>IF(D1735="","-",+C1759+1)</f>
        <v>2037</v>
      </c>
      <c r="D1760" s="673">
        <f t="shared" si="166"/>
        <v>346926.85090909107</v>
      </c>
      <c r="E1760" s="726">
        <f t="shared" si="167"/>
        <v>13604.974545454546</v>
      </c>
      <c r="F1760" s="726">
        <f t="shared" si="160"/>
        <v>333321.87636363652</v>
      </c>
      <c r="G1760" s="673">
        <f t="shared" si="161"/>
        <v>340124.36363636376</v>
      </c>
      <c r="H1760" s="721">
        <f>+J1736*G1760+E1760</f>
        <v>65784.316544099856</v>
      </c>
      <c r="I1760" s="727">
        <f>+J1737*G1760+E1760</f>
        <v>65784.316544099856</v>
      </c>
      <c r="J1760" s="724">
        <f t="shared" si="162"/>
        <v>0</v>
      </c>
      <c r="K1760" s="724"/>
      <c r="L1760" s="728"/>
      <c r="M1760" s="724">
        <f t="shared" si="163"/>
        <v>0</v>
      </c>
      <c r="N1760" s="728"/>
      <c r="O1760" s="724">
        <f t="shared" si="164"/>
        <v>0</v>
      </c>
      <c r="P1760" s="724">
        <f t="shared" si="165"/>
        <v>0</v>
      </c>
      <c r="Q1760" s="674"/>
    </row>
    <row r="1761" spans="2:17">
      <c r="B1761" s="330"/>
      <c r="C1761" s="720">
        <f>IF(D1735="","-",+C1760+1)</f>
        <v>2038</v>
      </c>
      <c r="D1761" s="673">
        <f t="shared" si="166"/>
        <v>333321.87636363652</v>
      </c>
      <c r="E1761" s="726">
        <f t="shared" si="167"/>
        <v>13604.974545454546</v>
      </c>
      <c r="F1761" s="726">
        <f t="shared" si="160"/>
        <v>319716.90181818197</v>
      </c>
      <c r="G1761" s="673">
        <f t="shared" si="161"/>
        <v>326519.38909090927</v>
      </c>
      <c r="H1761" s="721">
        <f>+J1736*G1761+E1761</f>
        <v>63697.142864154055</v>
      </c>
      <c r="I1761" s="727">
        <f>+J1737*G1761+E1761</f>
        <v>63697.142864154055</v>
      </c>
      <c r="J1761" s="724">
        <f t="shared" si="162"/>
        <v>0</v>
      </c>
      <c r="K1761" s="724"/>
      <c r="L1761" s="728"/>
      <c r="M1761" s="724">
        <f t="shared" si="163"/>
        <v>0</v>
      </c>
      <c r="N1761" s="728"/>
      <c r="O1761" s="724">
        <f t="shared" si="164"/>
        <v>0</v>
      </c>
      <c r="P1761" s="724">
        <f t="shared" si="165"/>
        <v>0</v>
      </c>
      <c r="Q1761" s="674"/>
    </row>
    <row r="1762" spans="2:17">
      <c r="B1762" s="330"/>
      <c r="C1762" s="720">
        <f>IF(D1735="","-",+C1761+1)</f>
        <v>2039</v>
      </c>
      <c r="D1762" s="673">
        <f t="shared" si="166"/>
        <v>319716.90181818197</v>
      </c>
      <c r="E1762" s="726">
        <f t="shared" si="167"/>
        <v>13604.974545454546</v>
      </c>
      <c r="F1762" s="726">
        <f t="shared" si="160"/>
        <v>306111.92727272742</v>
      </c>
      <c r="G1762" s="673">
        <f t="shared" si="161"/>
        <v>312914.41454545467</v>
      </c>
      <c r="H1762" s="721">
        <f>+J1736*G1762+E1762</f>
        <v>61609.969184208232</v>
      </c>
      <c r="I1762" s="727">
        <f>+J1737*G1762+E1762</f>
        <v>61609.969184208232</v>
      </c>
      <c r="J1762" s="724">
        <f t="shared" si="162"/>
        <v>0</v>
      </c>
      <c r="K1762" s="724"/>
      <c r="L1762" s="728"/>
      <c r="M1762" s="724">
        <f t="shared" si="163"/>
        <v>0</v>
      </c>
      <c r="N1762" s="728"/>
      <c r="O1762" s="724">
        <f t="shared" si="164"/>
        <v>0</v>
      </c>
      <c r="P1762" s="724">
        <f t="shared" si="165"/>
        <v>0</v>
      </c>
      <c r="Q1762" s="674"/>
    </row>
    <row r="1763" spans="2:17">
      <c r="B1763" s="330"/>
      <c r="C1763" s="720">
        <f>IF(D1735="","-",+C1762+1)</f>
        <v>2040</v>
      </c>
      <c r="D1763" s="673">
        <f t="shared" si="166"/>
        <v>306111.92727272742</v>
      </c>
      <c r="E1763" s="726">
        <f t="shared" si="167"/>
        <v>13604.974545454546</v>
      </c>
      <c r="F1763" s="726">
        <f t="shared" si="160"/>
        <v>292506.95272727287</v>
      </c>
      <c r="G1763" s="673">
        <f t="shared" si="161"/>
        <v>299309.44000000018</v>
      </c>
      <c r="H1763" s="721">
        <f>+J1736*G1763+E1763</f>
        <v>59522.795504262431</v>
      </c>
      <c r="I1763" s="727">
        <f>+J1737*G1763+E1763</f>
        <v>59522.795504262431</v>
      </c>
      <c r="J1763" s="724">
        <f t="shared" si="162"/>
        <v>0</v>
      </c>
      <c r="K1763" s="724"/>
      <c r="L1763" s="728"/>
      <c r="M1763" s="724">
        <f t="shared" si="163"/>
        <v>0</v>
      </c>
      <c r="N1763" s="728"/>
      <c r="O1763" s="724">
        <f t="shared" si="164"/>
        <v>0</v>
      </c>
      <c r="P1763" s="724">
        <f t="shared" si="165"/>
        <v>0</v>
      </c>
      <c r="Q1763" s="674"/>
    </row>
    <row r="1764" spans="2:17">
      <c r="B1764" s="330"/>
      <c r="C1764" s="720">
        <f>IF(D1735="","-",+C1763+1)</f>
        <v>2041</v>
      </c>
      <c r="D1764" s="673">
        <f t="shared" si="166"/>
        <v>292506.95272727287</v>
      </c>
      <c r="E1764" s="726">
        <f t="shared" si="167"/>
        <v>13604.974545454546</v>
      </c>
      <c r="F1764" s="726">
        <f t="shared" si="160"/>
        <v>278901.97818181833</v>
      </c>
      <c r="G1764" s="673">
        <f t="shared" si="161"/>
        <v>285704.46545454557</v>
      </c>
      <c r="H1764" s="721">
        <f>+J1736*G1764+E1764</f>
        <v>57435.621824316608</v>
      </c>
      <c r="I1764" s="727">
        <f>+J1737*G1764+E1764</f>
        <v>57435.621824316608</v>
      </c>
      <c r="J1764" s="724">
        <f t="shared" si="162"/>
        <v>0</v>
      </c>
      <c r="K1764" s="724"/>
      <c r="L1764" s="728"/>
      <c r="M1764" s="724">
        <f t="shared" si="163"/>
        <v>0</v>
      </c>
      <c r="N1764" s="728"/>
      <c r="O1764" s="724">
        <f t="shared" si="164"/>
        <v>0</v>
      </c>
      <c r="P1764" s="724">
        <f t="shared" si="165"/>
        <v>0</v>
      </c>
      <c r="Q1764" s="674"/>
    </row>
    <row r="1765" spans="2:17">
      <c r="B1765" s="330"/>
      <c r="C1765" s="720">
        <f>IF(D1735="","-",+C1764+1)</f>
        <v>2042</v>
      </c>
      <c r="D1765" s="673">
        <f t="shared" si="166"/>
        <v>278901.97818181833</v>
      </c>
      <c r="E1765" s="726">
        <f t="shared" si="167"/>
        <v>13604.974545454546</v>
      </c>
      <c r="F1765" s="726">
        <f t="shared" si="160"/>
        <v>265297.00363636378</v>
      </c>
      <c r="G1765" s="673">
        <f t="shared" si="161"/>
        <v>272099.49090909108</v>
      </c>
      <c r="H1765" s="721">
        <f>+J1736*G1765+E1765</f>
        <v>55348.448144370806</v>
      </c>
      <c r="I1765" s="727">
        <f>+J1737*G1765+E1765</f>
        <v>55348.448144370806</v>
      </c>
      <c r="J1765" s="724">
        <f t="shared" si="162"/>
        <v>0</v>
      </c>
      <c r="K1765" s="724"/>
      <c r="L1765" s="728"/>
      <c r="M1765" s="724">
        <f t="shared" si="163"/>
        <v>0</v>
      </c>
      <c r="N1765" s="728"/>
      <c r="O1765" s="724">
        <f t="shared" si="164"/>
        <v>0</v>
      </c>
      <c r="P1765" s="724">
        <f t="shared" si="165"/>
        <v>0</v>
      </c>
      <c r="Q1765" s="674"/>
    </row>
    <row r="1766" spans="2:17">
      <c r="B1766" s="330"/>
      <c r="C1766" s="720">
        <f>IF(D1735="","-",+C1765+1)</f>
        <v>2043</v>
      </c>
      <c r="D1766" s="673">
        <f t="shared" si="166"/>
        <v>265297.00363636378</v>
      </c>
      <c r="E1766" s="726">
        <f t="shared" si="167"/>
        <v>13604.974545454546</v>
      </c>
      <c r="F1766" s="726">
        <f t="shared" si="160"/>
        <v>251692.02909090923</v>
      </c>
      <c r="G1766" s="673">
        <f t="shared" si="161"/>
        <v>258494.5163636365</v>
      </c>
      <c r="H1766" s="721">
        <f>+J1736*G1766+E1766</f>
        <v>53261.274464424991</v>
      </c>
      <c r="I1766" s="727">
        <f>+J1737*G1766+E1766</f>
        <v>53261.274464424991</v>
      </c>
      <c r="J1766" s="724">
        <f t="shared" si="162"/>
        <v>0</v>
      </c>
      <c r="K1766" s="724"/>
      <c r="L1766" s="728"/>
      <c r="M1766" s="724">
        <f t="shared" si="163"/>
        <v>0</v>
      </c>
      <c r="N1766" s="728"/>
      <c r="O1766" s="724">
        <f t="shared" si="164"/>
        <v>0</v>
      </c>
      <c r="P1766" s="724">
        <f t="shared" si="165"/>
        <v>0</v>
      </c>
      <c r="Q1766" s="674"/>
    </row>
    <row r="1767" spans="2:17">
      <c r="B1767" s="330"/>
      <c r="C1767" s="720">
        <f>IF(D1735="","-",+C1766+1)</f>
        <v>2044</v>
      </c>
      <c r="D1767" s="673">
        <f t="shared" si="166"/>
        <v>251692.02909090923</v>
      </c>
      <c r="E1767" s="726">
        <f t="shared" si="167"/>
        <v>13604.974545454546</v>
      </c>
      <c r="F1767" s="726">
        <f t="shared" si="160"/>
        <v>238087.05454545468</v>
      </c>
      <c r="G1767" s="673">
        <f t="shared" si="161"/>
        <v>244889.54181818196</v>
      </c>
      <c r="H1767" s="721">
        <f>+J1736*G1767+E1767</f>
        <v>51174.100784479182</v>
      </c>
      <c r="I1767" s="727">
        <f>+J1737*G1767+E1767</f>
        <v>51174.100784479182</v>
      </c>
      <c r="J1767" s="724">
        <f t="shared" si="162"/>
        <v>0</v>
      </c>
      <c r="K1767" s="724"/>
      <c r="L1767" s="728"/>
      <c r="M1767" s="724">
        <f t="shared" si="163"/>
        <v>0</v>
      </c>
      <c r="N1767" s="728"/>
      <c r="O1767" s="724">
        <f t="shared" si="164"/>
        <v>0</v>
      </c>
      <c r="P1767" s="724">
        <f t="shared" si="165"/>
        <v>0</v>
      </c>
      <c r="Q1767" s="674"/>
    </row>
    <row r="1768" spans="2:17">
      <c r="B1768" s="330"/>
      <c r="C1768" s="720">
        <f>IF(D1735="","-",+C1767+1)</f>
        <v>2045</v>
      </c>
      <c r="D1768" s="673">
        <f t="shared" si="166"/>
        <v>238087.05454545468</v>
      </c>
      <c r="E1768" s="726">
        <f t="shared" si="167"/>
        <v>13604.974545454546</v>
      </c>
      <c r="F1768" s="726">
        <f t="shared" si="160"/>
        <v>224482.08000000013</v>
      </c>
      <c r="G1768" s="673">
        <f t="shared" si="161"/>
        <v>231284.56727272741</v>
      </c>
      <c r="H1768" s="721">
        <f>+J1736*G1768+E1768</f>
        <v>49086.927104533366</v>
      </c>
      <c r="I1768" s="727">
        <f>+J1737*G1768+E1768</f>
        <v>49086.927104533366</v>
      </c>
      <c r="J1768" s="724">
        <f t="shared" si="162"/>
        <v>0</v>
      </c>
      <c r="K1768" s="724"/>
      <c r="L1768" s="728"/>
      <c r="M1768" s="724">
        <f t="shared" si="163"/>
        <v>0</v>
      </c>
      <c r="N1768" s="728"/>
      <c r="O1768" s="724">
        <f t="shared" si="164"/>
        <v>0</v>
      </c>
      <c r="P1768" s="724">
        <f t="shared" si="165"/>
        <v>0</v>
      </c>
      <c r="Q1768" s="674"/>
    </row>
    <row r="1769" spans="2:17">
      <c r="B1769" s="330"/>
      <c r="C1769" s="720">
        <f>IF(D1735="","-",+C1768+1)</f>
        <v>2046</v>
      </c>
      <c r="D1769" s="673">
        <f t="shared" si="166"/>
        <v>224482.08000000013</v>
      </c>
      <c r="E1769" s="726">
        <f t="shared" si="167"/>
        <v>13604.974545454546</v>
      </c>
      <c r="F1769" s="726">
        <f t="shared" si="160"/>
        <v>210877.10545454558</v>
      </c>
      <c r="G1769" s="673">
        <f t="shared" si="161"/>
        <v>217679.59272727286</v>
      </c>
      <c r="H1769" s="721">
        <f>+J1736*G1769+E1769</f>
        <v>46999.753424587558</v>
      </c>
      <c r="I1769" s="727">
        <f>+J1737*G1769+E1769</f>
        <v>46999.753424587558</v>
      </c>
      <c r="J1769" s="724">
        <f t="shared" si="162"/>
        <v>0</v>
      </c>
      <c r="K1769" s="724"/>
      <c r="L1769" s="728"/>
      <c r="M1769" s="724">
        <f t="shared" si="163"/>
        <v>0</v>
      </c>
      <c r="N1769" s="728"/>
      <c r="O1769" s="724">
        <f t="shared" si="164"/>
        <v>0</v>
      </c>
      <c r="P1769" s="724">
        <f t="shared" si="165"/>
        <v>0</v>
      </c>
      <c r="Q1769" s="674"/>
    </row>
    <row r="1770" spans="2:17">
      <c r="B1770" s="330"/>
      <c r="C1770" s="720">
        <f>IF(D1735="","-",+C1769+1)</f>
        <v>2047</v>
      </c>
      <c r="D1770" s="673">
        <f t="shared" si="166"/>
        <v>210877.10545454558</v>
      </c>
      <c r="E1770" s="726">
        <f t="shared" si="167"/>
        <v>13604.974545454546</v>
      </c>
      <c r="F1770" s="726">
        <f t="shared" si="160"/>
        <v>197272.13090909104</v>
      </c>
      <c r="G1770" s="673">
        <f t="shared" si="161"/>
        <v>204074.61818181831</v>
      </c>
      <c r="H1770" s="721">
        <f>+J1736*G1770+E1770</f>
        <v>44912.579744641742</v>
      </c>
      <c r="I1770" s="727">
        <f>+J1737*G1770+E1770</f>
        <v>44912.579744641742</v>
      </c>
      <c r="J1770" s="724">
        <f t="shared" si="162"/>
        <v>0</v>
      </c>
      <c r="K1770" s="724"/>
      <c r="L1770" s="728"/>
      <c r="M1770" s="724">
        <f t="shared" si="163"/>
        <v>0</v>
      </c>
      <c r="N1770" s="728"/>
      <c r="O1770" s="724">
        <f t="shared" si="164"/>
        <v>0</v>
      </c>
      <c r="P1770" s="724">
        <f t="shared" si="165"/>
        <v>0</v>
      </c>
      <c r="Q1770" s="674"/>
    </row>
    <row r="1771" spans="2:17">
      <c r="B1771" s="330"/>
      <c r="C1771" s="720">
        <f>IF(D1735="","-",+C1770+1)</f>
        <v>2048</v>
      </c>
      <c r="D1771" s="673">
        <f t="shared" si="166"/>
        <v>197272.13090909104</v>
      </c>
      <c r="E1771" s="726">
        <f t="shared" si="167"/>
        <v>13604.974545454546</v>
      </c>
      <c r="F1771" s="726">
        <f t="shared" si="160"/>
        <v>183667.15636363649</v>
      </c>
      <c r="G1771" s="673">
        <f t="shared" si="161"/>
        <v>190469.64363636376</v>
      </c>
      <c r="H1771" s="721">
        <f>+J1736*G1771+E1771</f>
        <v>42825.406064695926</v>
      </c>
      <c r="I1771" s="727">
        <f>+J1737*G1771+E1771</f>
        <v>42825.406064695926</v>
      </c>
      <c r="J1771" s="724">
        <f t="shared" si="162"/>
        <v>0</v>
      </c>
      <c r="K1771" s="724"/>
      <c r="L1771" s="728"/>
      <c r="M1771" s="724">
        <f t="shared" si="163"/>
        <v>0</v>
      </c>
      <c r="N1771" s="728"/>
      <c r="O1771" s="724">
        <f t="shared" si="164"/>
        <v>0</v>
      </c>
      <c r="P1771" s="724">
        <f t="shared" si="165"/>
        <v>0</v>
      </c>
      <c r="Q1771" s="674"/>
    </row>
    <row r="1772" spans="2:17">
      <c r="B1772" s="330"/>
      <c r="C1772" s="720">
        <f>IF(D1735="","-",+C1771+1)</f>
        <v>2049</v>
      </c>
      <c r="D1772" s="673">
        <f t="shared" si="166"/>
        <v>183667.15636363649</v>
      </c>
      <c r="E1772" s="726">
        <f t="shared" si="167"/>
        <v>13604.974545454546</v>
      </c>
      <c r="F1772" s="726">
        <f t="shared" si="160"/>
        <v>170062.18181818194</v>
      </c>
      <c r="G1772" s="673">
        <f t="shared" si="161"/>
        <v>176864.66909090921</v>
      </c>
      <c r="H1772" s="721">
        <f>+J1736*G1772+E1772</f>
        <v>40738.232384750117</v>
      </c>
      <c r="I1772" s="727">
        <f>+J1737*G1772+E1772</f>
        <v>40738.232384750117</v>
      </c>
      <c r="J1772" s="724">
        <f t="shared" si="162"/>
        <v>0</v>
      </c>
      <c r="K1772" s="724"/>
      <c r="L1772" s="728"/>
      <c r="M1772" s="724">
        <f t="shared" si="163"/>
        <v>0</v>
      </c>
      <c r="N1772" s="728"/>
      <c r="O1772" s="724">
        <f t="shared" si="164"/>
        <v>0</v>
      </c>
      <c r="P1772" s="724">
        <f t="shared" si="165"/>
        <v>0</v>
      </c>
      <c r="Q1772" s="674"/>
    </row>
    <row r="1773" spans="2:17">
      <c r="B1773" s="330"/>
      <c r="C1773" s="720">
        <f>IF(D1735="","-",+C1772+1)</f>
        <v>2050</v>
      </c>
      <c r="D1773" s="673">
        <f t="shared" si="166"/>
        <v>170062.18181818194</v>
      </c>
      <c r="E1773" s="726">
        <f t="shared" si="167"/>
        <v>13604.974545454546</v>
      </c>
      <c r="F1773" s="726">
        <f t="shared" si="160"/>
        <v>156457.20727272739</v>
      </c>
      <c r="G1773" s="673">
        <f t="shared" si="161"/>
        <v>163259.69454545467</v>
      </c>
      <c r="H1773" s="721">
        <f>+J1736*G1773+E1773</f>
        <v>38651.058704804302</v>
      </c>
      <c r="I1773" s="727">
        <f>+J1737*G1773+E1773</f>
        <v>38651.058704804302</v>
      </c>
      <c r="J1773" s="724">
        <f t="shared" si="162"/>
        <v>0</v>
      </c>
      <c r="K1773" s="724"/>
      <c r="L1773" s="728"/>
      <c r="M1773" s="724">
        <f t="shared" si="163"/>
        <v>0</v>
      </c>
      <c r="N1773" s="728"/>
      <c r="O1773" s="724">
        <f t="shared" si="164"/>
        <v>0</v>
      </c>
      <c r="P1773" s="724">
        <f t="shared" si="165"/>
        <v>0</v>
      </c>
      <c r="Q1773" s="674"/>
    </row>
    <row r="1774" spans="2:17">
      <c r="B1774" s="330"/>
      <c r="C1774" s="720">
        <f>IF(D1735="","-",+C1773+1)</f>
        <v>2051</v>
      </c>
      <c r="D1774" s="673">
        <f t="shared" si="166"/>
        <v>156457.20727272739</v>
      </c>
      <c r="E1774" s="726">
        <f t="shared" si="167"/>
        <v>13604.974545454546</v>
      </c>
      <c r="F1774" s="726">
        <f t="shared" si="160"/>
        <v>142852.23272727284</v>
      </c>
      <c r="G1774" s="673">
        <f t="shared" si="161"/>
        <v>149654.72000000012</v>
      </c>
      <c r="H1774" s="721">
        <f>+J1736*G1774+E1774</f>
        <v>36563.885024858493</v>
      </c>
      <c r="I1774" s="727">
        <f>+J1737*G1774+E1774</f>
        <v>36563.885024858493</v>
      </c>
      <c r="J1774" s="724">
        <f t="shared" si="162"/>
        <v>0</v>
      </c>
      <c r="K1774" s="724"/>
      <c r="L1774" s="728"/>
      <c r="M1774" s="724">
        <f t="shared" si="163"/>
        <v>0</v>
      </c>
      <c r="N1774" s="728"/>
      <c r="O1774" s="724">
        <f t="shared" si="164"/>
        <v>0</v>
      </c>
      <c r="P1774" s="724">
        <f t="shared" si="165"/>
        <v>0</v>
      </c>
      <c r="Q1774" s="674"/>
    </row>
    <row r="1775" spans="2:17">
      <c r="B1775" s="330"/>
      <c r="C1775" s="720">
        <f>IF(D1735="","-",+C1774+1)</f>
        <v>2052</v>
      </c>
      <c r="D1775" s="673">
        <f t="shared" si="166"/>
        <v>142852.23272727284</v>
      </c>
      <c r="E1775" s="726">
        <f t="shared" si="167"/>
        <v>13604.974545454546</v>
      </c>
      <c r="F1775" s="726">
        <f t="shared" si="160"/>
        <v>129247.2581818183</v>
      </c>
      <c r="G1775" s="673">
        <f t="shared" si="161"/>
        <v>136049.74545454557</v>
      </c>
      <c r="H1775" s="721">
        <f>+J1736*G1775+E1775</f>
        <v>34476.711344912677</v>
      </c>
      <c r="I1775" s="727">
        <f>+J1737*G1775+E1775</f>
        <v>34476.711344912677</v>
      </c>
      <c r="J1775" s="724">
        <f t="shared" si="162"/>
        <v>0</v>
      </c>
      <c r="K1775" s="724"/>
      <c r="L1775" s="728"/>
      <c r="M1775" s="724">
        <f t="shared" si="163"/>
        <v>0</v>
      </c>
      <c r="N1775" s="728"/>
      <c r="O1775" s="724">
        <f t="shared" si="164"/>
        <v>0</v>
      </c>
      <c r="P1775" s="724">
        <f t="shared" si="165"/>
        <v>0</v>
      </c>
      <c r="Q1775" s="674"/>
    </row>
    <row r="1776" spans="2:17">
      <c r="B1776" s="330"/>
      <c r="C1776" s="720">
        <f>IF(D1735="","-",+C1775+1)</f>
        <v>2053</v>
      </c>
      <c r="D1776" s="673">
        <f t="shared" si="166"/>
        <v>129247.2581818183</v>
      </c>
      <c r="E1776" s="726">
        <f t="shared" si="167"/>
        <v>13604.974545454546</v>
      </c>
      <c r="F1776" s="726">
        <f t="shared" si="160"/>
        <v>115642.28363636375</v>
      </c>
      <c r="G1776" s="673">
        <f t="shared" si="161"/>
        <v>122444.77090909102</v>
      </c>
      <c r="H1776" s="721">
        <f>+J1736*G1776+E1776</f>
        <v>32389.537664966869</v>
      </c>
      <c r="I1776" s="727">
        <f>+J1737*G1776+E1776</f>
        <v>32389.537664966869</v>
      </c>
      <c r="J1776" s="724">
        <f t="shared" si="162"/>
        <v>0</v>
      </c>
      <c r="K1776" s="724"/>
      <c r="L1776" s="728"/>
      <c r="M1776" s="724">
        <f t="shared" si="163"/>
        <v>0</v>
      </c>
      <c r="N1776" s="728"/>
      <c r="O1776" s="724">
        <f t="shared" si="164"/>
        <v>0</v>
      </c>
      <c r="P1776" s="724">
        <f t="shared" si="165"/>
        <v>0</v>
      </c>
      <c r="Q1776" s="674"/>
    </row>
    <row r="1777" spans="2:17">
      <c r="B1777" s="330"/>
      <c r="C1777" s="720">
        <f>IF(D1735="","-",+C1776+1)</f>
        <v>2054</v>
      </c>
      <c r="D1777" s="673">
        <f t="shared" si="166"/>
        <v>115642.28363636375</v>
      </c>
      <c r="E1777" s="726">
        <f t="shared" si="167"/>
        <v>13604.974545454546</v>
      </c>
      <c r="F1777" s="726">
        <f t="shared" si="160"/>
        <v>102037.3090909092</v>
      </c>
      <c r="G1777" s="673">
        <f t="shared" si="161"/>
        <v>108839.79636363647</v>
      </c>
      <c r="H1777" s="721">
        <f>+J1736*G1777+E1777</f>
        <v>30302.363985021053</v>
      </c>
      <c r="I1777" s="727">
        <f>+J1737*G1777+E1777</f>
        <v>30302.363985021053</v>
      </c>
      <c r="J1777" s="724">
        <f t="shared" si="162"/>
        <v>0</v>
      </c>
      <c r="K1777" s="724"/>
      <c r="L1777" s="728"/>
      <c r="M1777" s="724">
        <f t="shared" si="163"/>
        <v>0</v>
      </c>
      <c r="N1777" s="728"/>
      <c r="O1777" s="724">
        <f t="shared" si="164"/>
        <v>0</v>
      </c>
      <c r="P1777" s="724">
        <f t="shared" si="165"/>
        <v>0</v>
      </c>
      <c r="Q1777" s="674"/>
    </row>
    <row r="1778" spans="2:17">
      <c r="B1778" s="330"/>
      <c r="C1778" s="720">
        <f>IF(D1735="","-",+C1777+1)</f>
        <v>2055</v>
      </c>
      <c r="D1778" s="673">
        <f t="shared" si="166"/>
        <v>102037.3090909092</v>
      </c>
      <c r="E1778" s="726">
        <f t="shared" si="167"/>
        <v>13604.974545454546</v>
      </c>
      <c r="F1778" s="726">
        <f t="shared" si="160"/>
        <v>88432.334545454651</v>
      </c>
      <c r="G1778" s="673">
        <f t="shared" si="161"/>
        <v>95234.821818181925</v>
      </c>
      <c r="H1778" s="721">
        <f>+J1736*G1778+E1778</f>
        <v>28215.190305075244</v>
      </c>
      <c r="I1778" s="727">
        <f>+J1737*G1778+E1778</f>
        <v>28215.190305075244</v>
      </c>
      <c r="J1778" s="724">
        <f t="shared" si="162"/>
        <v>0</v>
      </c>
      <c r="K1778" s="724"/>
      <c r="L1778" s="728"/>
      <c r="M1778" s="724">
        <f t="shared" si="163"/>
        <v>0</v>
      </c>
      <c r="N1778" s="728"/>
      <c r="O1778" s="724">
        <f t="shared" si="164"/>
        <v>0</v>
      </c>
      <c r="P1778" s="724">
        <f t="shared" si="165"/>
        <v>0</v>
      </c>
      <c r="Q1778" s="674"/>
    </row>
    <row r="1779" spans="2:17">
      <c r="B1779" s="330"/>
      <c r="C1779" s="720">
        <f>IF(D1735="","-",+C1778+1)</f>
        <v>2056</v>
      </c>
      <c r="D1779" s="673">
        <f t="shared" si="166"/>
        <v>88432.334545454651</v>
      </c>
      <c r="E1779" s="726">
        <f t="shared" si="167"/>
        <v>13604.974545454546</v>
      </c>
      <c r="F1779" s="726">
        <f t="shared" si="160"/>
        <v>74827.360000000102</v>
      </c>
      <c r="G1779" s="673">
        <f t="shared" si="161"/>
        <v>81629.847272727377</v>
      </c>
      <c r="H1779" s="721">
        <f>+J1736*G1779+E1779</f>
        <v>26128.016625129432</v>
      </c>
      <c r="I1779" s="727">
        <f>+J1737*G1779+E1779</f>
        <v>26128.016625129432</v>
      </c>
      <c r="J1779" s="724">
        <f t="shared" si="162"/>
        <v>0</v>
      </c>
      <c r="K1779" s="724"/>
      <c r="L1779" s="728"/>
      <c r="M1779" s="724">
        <f t="shared" si="163"/>
        <v>0</v>
      </c>
      <c r="N1779" s="728"/>
      <c r="O1779" s="724">
        <f t="shared" si="164"/>
        <v>0</v>
      </c>
      <c r="P1779" s="724">
        <f t="shared" si="165"/>
        <v>0</v>
      </c>
      <c r="Q1779" s="674"/>
    </row>
    <row r="1780" spans="2:17">
      <c r="B1780" s="330"/>
      <c r="C1780" s="720">
        <f>IF(D1735="","-",+C1779+1)</f>
        <v>2057</v>
      </c>
      <c r="D1780" s="673">
        <f t="shared" si="166"/>
        <v>74827.360000000102</v>
      </c>
      <c r="E1780" s="726">
        <f t="shared" si="167"/>
        <v>13604.974545454546</v>
      </c>
      <c r="F1780" s="726">
        <f t="shared" si="160"/>
        <v>61222.385454545554</v>
      </c>
      <c r="G1780" s="673">
        <f t="shared" si="161"/>
        <v>68024.872727272828</v>
      </c>
      <c r="H1780" s="721">
        <f>+J1736*G1780+E1780</f>
        <v>24040.84294518362</v>
      </c>
      <c r="I1780" s="727">
        <f>+J1737*G1780+E1780</f>
        <v>24040.84294518362</v>
      </c>
      <c r="J1780" s="724">
        <f t="shared" si="162"/>
        <v>0</v>
      </c>
      <c r="K1780" s="724"/>
      <c r="L1780" s="728"/>
      <c r="M1780" s="724">
        <f t="shared" si="163"/>
        <v>0</v>
      </c>
      <c r="N1780" s="728"/>
      <c r="O1780" s="724">
        <f t="shared" si="164"/>
        <v>0</v>
      </c>
      <c r="P1780" s="724">
        <f t="shared" si="165"/>
        <v>0</v>
      </c>
      <c r="Q1780" s="674"/>
    </row>
    <row r="1781" spans="2:17">
      <c r="B1781" s="330"/>
      <c r="C1781" s="720">
        <f>IF(D1735="","-",+C1780+1)</f>
        <v>2058</v>
      </c>
      <c r="D1781" s="673">
        <f t="shared" si="166"/>
        <v>61222.385454545554</v>
      </c>
      <c r="E1781" s="726">
        <f t="shared" si="167"/>
        <v>13604.974545454546</v>
      </c>
      <c r="F1781" s="726">
        <f t="shared" si="160"/>
        <v>47617.410909091006</v>
      </c>
      <c r="G1781" s="673">
        <f t="shared" si="161"/>
        <v>54419.89818181828</v>
      </c>
      <c r="H1781" s="721">
        <f>+J1736*G1781+E1781</f>
        <v>21953.669265237808</v>
      </c>
      <c r="I1781" s="727">
        <f>+J1737*G1781+E1781</f>
        <v>21953.669265237808</v>
      </c>
      <c r="J1781" s="724">
        <f t="shared" si="162"/>
        <v>0</v>
      </c>
      <c r="K1781" s="724"/>
      <c r="L1781" s="728"/>
      <c r="M1781" s="724">
        <f t="shared" si="163"/>
        <v>0</v>
      </c>
      <c r="N1781" s="728"/>
      <c r="O1781" s="724">
        <f t="shared" si="164"/>
        <v>0</v>
      </c>
      <c r="P1781" s="724">
        <f t="shared" si="165"/>
        <v>0</v>
      </c>
      <c r="Q1781" s="674"/>
    </row>
    <row r="1782" spans="2:17">
      <c r="B1782" s="330"/>
      <c r="C1782" s="720">
        <f>IF(D1735="","-",+C1781+1)</f>
        <v>2059</v>
      </c>
      <c r="D1782" s="673">
        <f t="shared" si="166"/>
        <v>47617.410909091006</v>
      </c>
      <c r="E1782" s="726">
        <f t="shared" si="167"/>
        <v>13604.974545454546</v>
      </c>
      <c r="F1782" s="726">
        <f t="shared" si="160"/>
        <v>34012.436363636458</v>
      </c>
      <c r="G1782" s="673">
        <f t="shared" si="161"/>
        <v>40814.923636363732</v>
      </c>
      <c r="H1782" s="721">
        <f>+J1736*G1782+E1782</f>
        <v>19866.495585291996</v>
      </c>
      <c r="I1782" s="727">
        <f>+J1737*G1782+E1782</f>
        <v>19866.495585291996</v>
      </c>
      <c r="J1782" s="724">
        <f t="shared" si="162"/>
        <v>0</v>
      </c>
      <c r="K1782" s="724"/>
      <c r="L1782" s="728"/>
      <c r="M1782" s="724">
        <f t="shared" si="163"/>
        <v>0</v>
      </c>
      <c r="N1782" s="728"/>
      <c r="O1782" s="724">
        <f t="shared" si="164"/>
        <v>0</v>
      </c>
      <c r="P1782" s="724">
        <f t="shared" si="165"/>
        <v>0</v>
      </c>
      <c r="Q1782" s="674"/>
    </row>
    <row r="1783" spans="2:17">
      <c r="B1783" s="330"/>
      <c r="C1783" s="720">
        <f>IF(D1735="","-",+C1782+1)</f>
        <v>2060</v>
      </c>
      <c r="D1783" s="673">
        <f t="shared" si="166"/>
        <v>34012.436363636458</v>
      </c>
      <c r="E1783" s="726">
        <f t="shared" si="167"/>
        <v>13604.974545454546</v>
      </c>
      <c r="F1783" s="726">
        <f t="shared" si="160"/>
        <v>20407.46181818191</v>
      </c>
      <c r="G1783" s="673">
        <f t="shared" si="161"/>
        <v>27209.949090909184</v>
      </c>
      <c r="H1783" s="721">
        <f>+J1736*G1783+E1783</f>
        <v>17779.321905346183</v>
      </c>
      <c r="I1783" s="727">
        <f>+J1737*G1783+E1783</f>
        <v>17779.321905346183</v>
      </c>
      <c r="J1783" s="724">
        <f t="shared" si="162"/>
        <v>0</v>
      </c>
      <c r="K1783" s="724"/>
      <c r="L1783" s="728"/>
      <c r="M1783" s="724">
        <f t="shared" si="163"/>
        <v>0</v>
      </c>
      <c r="N1783" s="728"/>
      <c r="O1783" s="724">
        <f t="shared" si="164"/>
        <v>0</v>
      </c>
      <c r="P1783" s="724">
        <f t="shared" si="165"/>
        <v>0</v>
      </c>
      <c r="Q1783" s="674"/>
    </row>
    <row r="1784" spans="2:17">
      <c r="B1784" s="330"/>
      <c r="C1784" s="720">
        <f>IF(D1735="","-",+C1783+1)</f>
        <v>2061</v>
      </c>
      <c r="D1784" s="673">
        <f t="shared" si="166"/>
        <v>20407.46181818191</v>
      </c>
      <c r="E1784" s="726">
        <f t="shared" si="167"/>
        <v>13604.974545454546</v>
      </c>
      <c r="F1784" s="726">
        <f t="shared" si="160"/>
        <v>6802.4872727273632</v>
      </c>
      <c r="G1784" s="673">
        <f t="shared" si="161"/>
        <v>13604.974545454636</v>
      </c>
      <c r="H1784" s="721">
        <f>+J1736*G1784+E1784</f>
        <v>15692.148225400371</v>
      </c>
      <c r="I1784" s="727">
        <f>+J1737*G1784+E1784</f>
        <v>15692.148225400371</v>
      </c>
      <c r="J1784" s="724">
        <f t="shared" si="162"/>
        <v>0</v>
      </c>
      <c r="K1784" s="724"/>
      <c r="L1784" s="728"/>
      <c r="M1784" s="724">
        <f t="shared" si="163"/>
        <v>0</v>
      </c>
      <c r="N1784" s="728"/>
      <c r="O1784" s="724">
        <f t="shared" si="164"/>
        <v>0</v>
      </c>
      <c r="P1784" s="724">
        <f t="shared" si="165"/>
        <v>0</v>
      </c>
      <c r="Q1784" s="674"/>
    </row>
    <row r="1785" spans="2:17">
      <c r="B1785" s="330"/>
      <c r="C1785" s="720">
        <f>IF(D1735="","-",+C1784+1)</f>
        <v>2062</v>
      </c>
      <c r="D1785" s="673">
        <f t="shared" si="166"/>
        <v>6802.4872727273632</v>
      </c>
      <c r="E1785" s="726">
        <f t="shared" si="167"/>
        <v>6802.4872727273632</v>
      </c>
      <c r="F1785" s="726">
        <f t="shared" si="160"/>
        <v>0</v>
      </c>
      <c r="G1785" s="673">
        <f t="shared" si="161"/>
        <v>3401.2436363636816</v>
      </c>
      <c r="H1785" s="721">
        <f>+J1736*G1785+E1785</f>
        <v>7324.2806927138226</v>
      </c>
      <c r="I1785" s="727">
        <f>+J1737*G1785+E1785</f>
        <v>7324.2806927138226</v>
      </c>
      <c r="J1785" s="724">
        <f t="shared" si="162"/>
        <v>0</v>
      </c>
      <c r="K1785" s="724"/>
      <c r="L1785" s="728"/>
      <c r="M1785" s="724">
        <f t="shared" si="163"/>
        <v>0</v>
      </c>
      <c r="N1785" s="728"/>
      <c r="O1785" s="724">
        <f t="shared" si="164"/>
        <v>0</v>
      </c>
      <c r="P1785" s="724">
        <f t="shared" si="165"/>
        <v>0</v>
      </c>
      <c r="Q1785" s="674"/>
    </row>
    <row r="1786" spans="2:17">
      <c r="B1786" s="330"/>
      <c r="C1786" s="720">
        <f>IF(D1735="","-",+C1785+1)</f>
        <v>2063</v>
      </c>
      <c r="D1786" s="673">
        <f t="shared" si="166"/>
        <v>0</v>
      </c>
      <c r="E1786" s="726">
        <f t="shared" si="167"/>
        <v>0</v>
      </c>
      <c r="F1786" s="726">
        <f t="shared" si="160"/>
        <v>0</v>
      </c>
      <c r="G1786" s="673">
        <f t="shared" si="161"/>
        <v>0</v>
      </c>
      <c r="H1786" s="721">
        <f>+J1736*G1786+E1786</f>
        <v>0</v>
      </c>
      <c r="I1786" s="727">
        <f>+J1737*G1786+E1786</f>
        <v>0</v>
      </c>
      <c r="J1786" s="724">
        <f t="shared" si="162"/>
        <v>0</v>
      </c>
      <c r="K1786" s="724"/>
      <c r="L1786" s="728"/>
      <c r="M1786" s="724">
        <f t="shared" si="163"/>
        <v>0</v>
      </c>
      <c r="N1786" s="728"/>
      <c r="O1786" s="724">
        <f t="shared" si="164"/>
        <v>0</v>
      </c>
      <c r="P1786" s="724">
        <f t="shared" si="165"/>
        <v>0</v>
      </c>
      <c r="Q1786" s="674"/>
    </row>
    <row r="1787" spans="2:17">
      <c r="B1787" s="330"/>
      <c r="C1787" s="720">
        <f>IF(D1735="","-",+C1786+1)</f>
        <v>2064</v>
      </c>
      <c r="D1787" s="673">
        <f t="shared" si="166"/>
        <v>0</v>
      </c>
      <c r="E1787" s="726">
        <f t="shared" si="167"/>
        <v>0</v>
      </c>
      <c r="F1787" s="726">
        <f t="shared" si="160"/>
        <v>0</v>
      </c>
      <c r="G1787" s="673">
        <f t="shared" si="161"/>
        <v>0</v>
      </c>
      <c r="H1787" s="721">
        <f>+J1736*G1787+E1787</f>
        <v>0</v>
      </c>
      <c r="I1787" s="727">
        <f>+J1737*G1787+E1787</f>
        <v>0</v>
      </c>
      <c r="J1787" s="724">
        <f t="shared" si="162"/>
        <v>0</v>
      </c>
      <c r="K1787" s="724"/>
      <c r="L1787" s="728"/>
      <c r="M1787" s="724">
        <f t="shared" si="163"/>
        <v>0</v>
      </c>
      <c r="N1787" s="728"/>
      <c r="O1787" s="724">
        <f t="shared" si="164"/>
        <v>0</v>
      </c>
      <c r="P1787" s="724">
        <f t="shared" si="165"/>
        <v>0</v>
      </c>
      <c r="Q1787" s="674"/>
    </row>
    <row r="1788" spans="2:17">
      <c r="B1788" s="330"/>
      <c r="C1788" s="720">
        <f>IF(D1735="","-",+C1787+1)</f>
        <v>2065</v>
      </c>
      <c r="D1788" s="673">
        <f t="shared" si="166"/>
        <v>0</v>
      </c>
      <c r="E1788" s="726">
        <f t="shared" si="167"/>
        <v>0</v>
      </c>
      <c r="F1788" s="726">
        <f t="shared" si="160"/>
        <v>0</v>
      </c>
      <c r="G1788" s="673">
        <f t="shared" si="161"/>
        <v>0</v>
      </c>
      <c r="H1788" s="721">
        <f>+J1736*G1788+E1788</f>
        <v>0</v>
      </c>
      <c r="I1788" s="727">
        <f>+J1737*G1788+E1788</f>
        <v>0</v>
      </c>
      <c r="J1788" s="724">
        <f t="shared" si="162"/>
        <v>0</v>
      </c>
      <c r="K1788" s="724"/>
      <c r="L1788" s="728"/>
      <c r="M1788" s="724">
        <f t="shared" si="163"/>
        <v>0</v>
      </c>
      <c r="N1788" s="728"/>
      <c r="O1788" s="724">
        <f t="shared" si="164"/>
        <v>0</v>
      </c>
      <c r="P1788" s="724">
        <f t="shared" si="165"/>
        <v>0</v>
      </c>
      <c r="Q1788" s="674"/>
    </row>
    <row r="1789" spans="2:17">
      <c r="B1789" s="330"/>
      <c r="C1789" s="720">
        <f>IF(D1735="","-",+C1788+1)</f>
        <v>2066</v>
      </c>
      <c r="D1789" s="673">
        <f t="shared" si="166"/>
        <v>0</v>
      </c>
      <c r="E1789" s="726">
        <f t="shared" si="167"/>
        <v>0</v>
      </c>
      <c r="F1789" s="726">
        <f t="shared" si="160"/>
        <v>0</v>
      </c>
      <c r="G1789" s="673">
        <f t="shared" si="161"/>
        <v>0</v>
      </c>
      <c r="H1789" s="721">
        <f>+J1736*G1789+E1789</f>
        <v>0</v>
      </c>
      <c r="I1789" s="727">
        <f>+J1737*G1789+E1789</f>
        <v>0</v>
      </c>
      <c r="J1789" s="724">
        <f t="shared" si="162"/>
        <v>0</v>
      </c>
      <c r="K1789" s="724"/>
      <c r="L1789" s="728"/>
      <c r="M1789" s="724">
        <f t="shared" si="163"/>
        <v>0</v>
      </c>
      <c r="N1789" s="728"/>
      <c r="O1789" s="724">
        <f t="shared" si="164"/>
        <v>0</v>
      </c>
      <c r="P1789" s="724">
        <f t="shared" si="165"/>
        <v>0</v>
      </c>
      <c r="Q1789" s="674"/>
    </row>
    <row r="1790" spans="2:17">
      <c r="B1790" s="330"/>
      <c r="C1790" s="720">
        <f>IF(D1735="","-",+C1789+1)</f>
        <v>2067</v>
      </c>
      <c r="D1790" s="673">
        <f t="shared" si="166"/>
        <v>0</v>
      </c>
      <c r="E1790" s="726">
        <f t="shared" si="167"/>
        <v>0</v>
      </c>
      <c r="F1790" s="726">
        <f t="shared" si="160"/>
        <v>0</v>
      </c>
      <c r="G1790" s="673">
        <f t="shared" si="161"/>
        <v>0</v>
      </c>
      <c r="H1790" s="721">
        <f>+J1736*G1790+E1790</f>
        <v>0</v>
      </c>
      <c r="I1790" s="727">
        <f>+J1737*G1790+E1790</f>
        <v>0</v>
      </c>
      <c r="J1790" s="724">
        <f t="shared" si="162"/>
        <v>0</v>
      </c>
      <c r="K1790" s="724"/>
      <c r="L1790" s="728"/>
      <c r="M1790" s="724">
        <f t="shared" si="163"/>
        <v>0</v>
      </c>
      <c r="N1790" s="728"/>
      <c r="O1790" s="724">
        <f t="shared" si="164"/>
        <v>0</v>
      </c>
      <c r="P1790" s="724">
        <f t="shared" si="165"/>
        <v>0</v>
      </c>
      <c r="Q1790" s="674"/>
    </row>
    <row r="1791" spans="2:17">
      <c r="B1791" s="330"/>
      <c r="C1791" s="720">
        <f>IF(D1735="","-",+C1790+1)</f>
        <v>2068</v>
      </c>
      <c r="D1791" s="673">
        <f t="shared" si="166"/>
        <v>0</v>
      </c>
      <c r="E1791" s="726">
        <f t="shared" si="167"/>
        <v>0</v>
      </c>
      <c r="F1791" s="726">
        <f t="shared" si="160"/>
        <v>0</v>
      </c>
      <c r="G1791" s="673">
        <f t="shared" si="161"/>
        <v>0</v>
      </c>
      <c r="H1791" s="721">
        <f>+J1736*G1791+E1791</f>
        <v>0</v>
      </c>
      <c r="I1791" s="727">
        <f>+J1737*G1791+E1791</f>
        <v>0</v>
      </c>
      <c r="J1791" s="724">
        <f t="shared" si="162"/>
        <v>0</v>
      </c>
      <c r="K1791" s="724"/>
      <c r="L1791" s="728"/>
      <c r="M1791" s="724">
        <f t="shared" si="163"/>
        <v>0</v>
      </c>
      <c r="N1791" s="728"/>
      <c r="O1791" s="724">
        <f t="shared" si="164"/>
        <v>0</v>
      </c>
      <c r="P1791" s="724">
        <f t="shared" si="165"/>
        <v>0</v>
      </c>
      <c r="Q1791" s="674"/>
    </row>
    <row r="1792" spans="2:17">
      <c r="B1792" s="330"/>
      <c r="C1792" s="720">
        <f>IF(D1735="","-",+C1791+1)</f>
        <v>2069</v>
      </c>
      <c r="D1792" s="673">
        <f t="shared" si="166"/>
        <v>0</v>
      </c>
      <c r="E1792" s="726">
        <f t="shared" si="167"/>
        <v>0</v>
      </c>
      <c r="F1792" s="726">
        <f t="shared" si="160"/>
        <v>0</v>
      </c>
      <c r="G1792" s="673">
        <f t="shared" si="161"/>
        <v>0</v>
      </c>
      <c r="H1792" s="721">
        <f>+J1736*G1792+E1792</f>
        <v>0</v>
      </c>
      <c r="I1792" s="727">
        <f>+J1737*G1792+E1792</f>
        <v>0</v>
      </c>
      <c r="J1792" s="724">
        <f t="shared" si="162"/>
        <v>0</v>
      </c>
      <c r="K1792" s="724"/>
      <c r="L1792" s="728"/>
      <c r="M1792" s="724">
        <f t="shared" si="163"/>
        <v>0</v>
      </c>
      <c r="N1792" s="728"/>
      <c r="O1792" s="724">
        <f t="shared" si="164"/>
        <v>0</v>
      </c>
      <c r="P1792" s="724">
        <f t="shared" si="165"/>
        <v>0</v>
      </c>
      <c r="Q1792" s="674"/>
    </row>
    <row r="1793" spans="1:17">
      <c r="B1793" s="330"/>
      <c r="C1793" s="720">
        <f>IF(D1735="","-",+C1792+1)</f>
        <v>2070</v>
      </c>
      <c r="D1793" s="673">
        <f t="shared" si="166"/>
        <v>0</v>
      </c>
      <c r="E1793" s="726">
        <f t="shared" si="167"/>
        <v>0</v>
      </c>
      <c r="F1793" s="726">
        <f t="shared" si="160"/>
        <v>0</v>
      </c>
      <c r="G1793" s="673">
        <f t="shared" si="161"/>
        <v>0</v>
      </c>
      <c r="H1793" s="721">
        <f>+J1736*G1793+E1793</f>
        <v>0</v>
      </c>
      <c r="I1793" s="727">
        <f>+J1737*G1793+E1793</f>
        <v>0</v>
      </c>
      <c r="J1793" s="724">
        <f t="shared" si="162"/>
        <v>0</v>
      </c>
      <c r="K1793" s="724"/>
      <c r="L1793" s="728"/>
      <c r="M1793" s="724">
        <f t="shared" si="163"/>
        <v>0</v>
      </c>
      <c r="N1793" s="728"/>
      <c r="O1793" s="724">
        <f t="shared" si="164"/>
        <v>0</v>
      </c>
      <c r="P1793" s="724">
        <f t="shared" si="165"/>
        <v>0</v>
      </c>
      <c r="Q1793" s="674"/>
    </row>
    <row r="1794" spans="1:17">
      <c r="B1794" s="330"/>
      <c r="C1794" s="720">
        <f>IF(D1735="","-",+C1793+1)</f>
        <v>2071</v>
      </c>
      <c r="D1794" s="673">
        <f t="shared" si="166"/>
        <v>0</v>
      </c>
      <c r="E1794" s="726">
        <f t="shared" si="167"/>
        <v>0</v>
      </c>
      <c r="F1794" s="726">
        <f t="shared" si="160"/>
        <v>0</v>
      </c>
      <c r="G1794" s="673">
        <f t="shared" si="161"/>
        <v>0</v>
      </c>
      <c r="H1794" s="721">
        <f>+J1736*G1794+E1794</f>
        <v>0</v>
      </c>
      <c r="I1794" s="727">
        <f>+J1737*G1794+E1794</f>
        <v>0</v>
      </c>
      <c r="J1794" s="724">
        <f t="shared" si="162"/>
        <v>0</v>
      </c>
      <c r="K1794" s="724"/>
      <c r="L1794" s="728"/>
      <c r="M1794" s="724">
        <f t="shared" si="163"/>
        <v>0</v>
      </c>
      <c r="N1794" s="728"/>
      <c r="O1794" s="724">
        <f t="shared" si="164"/>
        <v>0</v>
      </c>
      <c r="P1794" s="724">
        <f t="shared" si="165"/>
        <v>0</v>
      </c>
      <c r="Q1794" s="674"/>
    </row>
    <row r="1795" spans="1:17">
      <c r="B1795" s="330"/>
      <c r="C1795" s="720">
        <f>IF(D1735="","-",+C1794+1)</f>
        <v>2072</v>
      </c>
      <c r="D1795" s="673">
        <f t="shared" si="166"/>
        <v>0</v>
      </c>
      <c r="E1795" s="726">
        <f t="shared" si="167"/>
        <v>0</v>
      </c>
      <c r="F1795" s="726">
        <f t="shared" si="160"/>
        <v>0</v>
      </c>
      <c r="G1795" s="673">
        <f t="shared" si="161"/>
        <v>0</v>
      </c>
      <c r="H1795" s="721">
        <f>+J1736*G1795+E1795</f>
        <v>0</v>
      </c>
      <c r="I1795" s="727">
        <f>+J1737*G1795+E1795</f>
        <v>0</v>
      </c>
      <c r="J1795" s="724">
        <f t="shared" si="162"/>
        <v>0</v>
      </c>
      <c r="K1795" s="724"/>
      <c r="L1795" s="728"/>
      <c r="M1795" s="724">
        <f t="shared" si="163"/>
        <v>0</v>
      </c>
      <c r="N1795" s="728"/>
      <c r="O1795" s="724">
        <f t="shared" si="164"/>
        <v>0</v>
      </c>
      <c r="P1795" s="724">
        <f t="shared" si="165"/>
        <v>0</v>
      </c>
      <c r="Q1795" s="674"/>
    </row>
    <row r="1796" spans="1:17">
      <c r="B1796" s="330"/>
      <c r="C1796" s="720">
        <f>IF(D1735="","-",+C1795+1)</f>
        <v>2073</v>
      </c>
      <c r="D1796" s="673">
        <f t="shared" si="166"/>
        <v>0</v>
      </c>
      <c r="E1796" s="726">
        <f t="shared" si="167"/>
        <v>0</v>
      </c>
      <c r="F1796" s="726">
        <f t="shared" si="160"/>
        <v>0</v>
      </c>
      <c r="G1796" s="673">
        <f t="shared" si="161"/>
        <v>0</v>
      </c>
      <c r="H1796" s="721">
        <f>+J1736*G1796+E1796</f>
        <v>0</v>
      </c>
      <c r="I1796" s="727">
        <f>+J1737*G1796+E1796</f>
        <v>0</v>
      </c>
      <c r="J1796" s="724">
        <f t="shared" si="162"/>
        <v>0</v>
      </c>
      <c r="K1796" s="724"/>
      <c r="L1796" s="728"/>
      <c r="M1796" s="724">
        <f t="shared" si="163"/>
        <v>0</v>
      </c>
      <c r="N1796" s="728"/>
      <c r="O1796" s="724">
        <f t="shared" si="164"/>
        <v>0</v>
      </c>
      <c r="P1796" s="724">
        <f t="shared" si="165"/>
        <v>0</v>
      </c>
      <c r="Q1796" s="674"/>
    </row>
    <row r="1797" spans="1:17">
      <c r="B1797" s="330"/>
      <c r="C1797" s="720">
        <f>IF(D1735="","-",+C1796+1)</f>
        <v>2074</v>
      </c>
      <c r="D1797" s="673">
        <f t="shared" si="166"/>
        <v>0</v>
      </c>
      <c r="E1797" s="726">
        <f t="shared" si="167"/>
        <v>0</v>
      </c>
      <c r="F1797" s="726">
        <f t="shared" si="160"/>
        <v>0</v>
      </c>
      <c r="G1797" s="673">
        <f t="shared" si="161"/>
        <v>0</v>
      </c>
      <c r="H1797" s="721">
        <f>+J1736*G1797+E1797</f>
        <v>0</v>
      </c>
      <c r="I1797" s="727">
        <f>+J1737*G1797+E1797</f>
        <v>0</v>
      </c>
      <c r="J1797" s="724">
        <f t="shared" si="162"/>
        <v>0</v>
      </c>
      <c r="K1797" s="724"/>
      <c r="L1797" s="728"/>
      <c r="M1797" s="724">
        <f t="shared" si="163"/>
        <v>0</v>
      </c>
      <c r="N1797" s="728"/>
      <c r="O1797" s="724">
        <f t="shared" si="164"/>
        <v>0</v>
      </c>
      <c r="P1797" s="724">
        <f t="shared" si="165"/>
        <v>0</v>
      </c>
      <c r="Q1797" s="674"/>
    </row>
    <row r="1798" spans="1:17">
      <c r="B1798" s="330"/>
      <c r="C1798" s="720">
        <f>IF(D1735="","-",+C1797+1)</f>
        <v>2075</v>
      </c>
      <c r="D1798" s="673">
        <f t="shared" si="166"/>
        <v>0</v>
      </c>
      <c r="E1798" s="726">
        <f t="shared" si="167"/>
        <v>0</v>
      </c>
      <c r="F1798" s="726">
        <f t="shared" si="160"/>
        <v>0</v>
      </c>
      <c r="G1798" s="673">
        <f t="shared" si="161"/>
        <v>0</v>
      </c>
      <c r="H1798" s="721">
        <f>+J1736*G1798+E1798</f>
        <v>0</v>
      </c>
      <c r="I1798" s="727">
        <f>+J1737*G1798+E1798</f>
        <v>0</v>
      </c>
      <c r="J1798" s="724">
        <f t="shared" si="162"/>
        <v>0</v>
      </c>
      <c r="K1798" s="724"/>
      <c r="L1798" s="728"/>
      <c r="M1798" s="724">
        <f t="shared" si="163"/>
        <v>0</v>
      </c>
      <c r="N1798" s="728"/>
      <c r="O1798" s="724">
        <f t="shared" si="164"/>
        <v>0</v>
      </c>
      <c r="P1798" s="724">
        <f t="shared" si="165"/>
        <v>0</v>
      </c>
      <c r="Q1798" s="674"/>
    </row>
    <row r="1799" spans="1:17">
      <c r="B1799" s="330"/>
      <c r="C1799" s="720">
        <f>IF(D1735="","-",+C1798+1)</f>
        <v>2076</v>
      </c>
      <c r="D1799" s="673">
        <f t="shared" si="166"/>
        <v>0</v>
      </c>
      <c r="E1799" s="726">
        <f t="shared" si="167"/>
        <v>0</v>
      </c>
      <c r="F1799" s="726">
        <f t="shared" si="160"/>
        <v>0</v>
      </c>
      <c r="G1799" s="673">
        <f t="shared" si="161"/>
        <v>0</v>
      </c>
      <c r="H1799" s="721">
        <f>+J1736*G1799+E1799</f>
        <v>0</v>
      </c>
      <c r="I1799" s="727">
        <f>+J1737*G1799+E1799</f>
        <v>0</v>
      </c>
      <c r="J1799" s="724">
        <f t="shared" si="162"/>
        <v>0</v>
      </c>
      <c r="K1799" s="724"/>
      <c r="L1799" s="728"/>
      <c r="M1799" s="724">
        <f t="shared" si="163"/>
        <v>0</v>
      </c>
      <c r="N1799" s="728"/>
      <c r="O1799" s="724">
        <f t="shared" si="164"/>
        <v>0</v>
      </c>
      <c r="P1799" s="724">
        <f t="shared" si="165"/>
        <v>0</v>
      </c>
      <c r="Q1799" s="674"/>
    </row>
    <row r="1800" spans="1:17" ht="13.5" thickBot="1">
      <c r="B1800" s="330"/>
      <c r="C1800" s="730">
        <f>IF(D1735="","-",+C1799+1)</f>
        <v>2077</v>
      </c>
      <c r="D1800" s="731">
        <f t="shared" si="166"/>
        <v>0</v>
      </c>
      <c r="E1800" s="1309">
        <f t="shared" si="167"/>
        <v>0</v>
      </c>
      <c r="F1800" s="732">
        <f t="shared" si="160"/>
        <v>0</v>
      </c>
      <c r="G1800" s="731">
        <f t="shared" si="161"/>
        <v>0</v>
      </c>
      <c r="H1800" s="733">
        <f>+J1736*G1800+E1800</f>
        <v>0</v>
      </c>
      <c r="I1800" s="733">
        <f>+J1737*G1800+E1800</f>
        <v>0</v>
      </c>
      <c r="J1800" s="734">
        <f t="shared" si="162"/>
        <v>0</v>
      </c>
      <c r="K1800" s="724"/>
      <c r="L1800" s="735"/>
      <c r="M1800" s="734">
        <f t="shared" si="163"/>
        <v>0</v>
      </c>
      <c r="N1800" s="735"/>
      <c r="O1800" s="734">
        <f t="shared" si="164"/>
        <v>0</v>
      </c>
      <c r="P1800" s="734">
        <f t="shared" si="165"/>
        <v>0</v>
      </c>
      <c r="Q1800" s="674"/>
    </row>
    <row r="1801" spans="1:17">
      <c r="B1801" s="330"/>
      <c r="C1801" s="673" t="s">
        <v>288</v>
      </c>
      <c r="D1801" s="669"/>
      <c r="E1801" s="669">
        <f>SUM(E1741:E1800)</f>
        <v>598618.88</v>
      </c>
      <c r="F1801" s="669"/>
      <c r="G1801" s="669"/>
      <c r="H1801" s="669">
        <f>SUM(H1741:H1800)</f>
        <v>2664920.8231463549</v>
      </c>
      <c r="I1801" s="669">
        <f>SUM(I1741:I1800)</f>
        <v>2664920.8231463549</v>
      </c>
      <c r="J1801" s="669">
        <f>SUM(J1741:J1800)</f>
        <v>0</v>
      </c>
      <c r="K1801" s="669"/>
      <c r="L1801" s="669"/>
      <c r="M1801" s="669"/>
      <c r="N1801" s="669"/>
      <c r="O1801" s="669"/>
      <c r="Q1801" s="669"/>
    </row>
    <row r="1802" spans="1:17">
      <c r="B1802" s="330"/>
      <c r="D1802" s="563"/>
      <c r="E1802" s="542"/>
      <c r="F1802" s="542"/>
      <c r="G1802" s="542"/>
      <c r="H1802" s="542"/>
      <c r="I1802" s="646"/>
      <c r="J1802" s="646"/>
      <c r="K1802" s="669"/>
      <c r="L1802" s="646"/>
      <c r="M1802" s="646"/>
      <c r="N1802" s="646"/>
      <c r="O1802" s="646"/>
      <c r="Q1802" s="669"/>
    </row>
    <row r="1803" spans="1:17">
      <c r="B1803" s="330"/>
      <c r="C1803" s="542" t="s">
        <v>595</v>
      </c>
      <c r="D1803" s="563"/>
      <c r="E1803" s="542"/>
      <c r="F1803" s="542"/>
      <c r="G1803" s="542"/>
      <c r="H1803" s="542"/>
      <c r="I1803" s="646"/>
      <c r="J1803" s="646"/>
      <c r="K1803" s="669"/>
      <c r="L1803" s="646"/>
      <c r="M1803" s="646"/>
      <c r="N1803" s="646"/>
      <c r="O1803" s="646"/>
      <c r="Q1803" s="669"/>
    </row>
    <row r="1804" spans="1:17">
      <c r="B1804" s="330"/>
      <c r="D1804" s="563"/>
      <c r="E1804" s="542"/>
      <c r="F1804" s="542"/>
      <c r="G1804" s="542"/>
      <c r="H1804" s="542"/>
      <c r="I1804" s="646"/>
      <c r="J1804" s="646"/>
      <c r="K1804" s="669"/>
      <c r="L1804" s="646"/>
      <c r="M1804" s="646"/>
      <c r="N1804" s="646"/>
      <c r="O1804" s="646"/>
      <c r="Q1804" s="669"/>
    </row>
    <row r="1805" spans="1:17">
      <c r="B1805" s="330"/>
      <c r="C1805" s="576" t="s">
        <v>596</v>
      </c>
      <c r="D1805" s="673"/>
      <c r="E1805" s="673"/>
      <c r="F1805" s="673"/>
      <c r="G1805" s="673"/>
      <c r="H1805" s="669"/>
      <c r="I1805" s="669"/>
      <c r="J1805" s="674"/>
      <c r="K1805" s="674"/>
      <c r="L1805" s="674"/>
      <c r="M1805" s="674"/>
      <c r="N1805" s="674"/>
      <c r="O1805" s="674"/>
      <c r="Q1805" s="674"/>
    </row>
    <row r="1806" spans="1:17">
      <c r="B1806" s="330"/>
      <c r="C1806" s="576" t="s">
        <v>476</v>
      </c>
      <c r="D1806" s="673"/>
      <c r="E1806" s="673"/>
      <c r="F1806" s="673"/>
      <c r="G1806" s="673"/>
      <c r="H1806" s="669"/>
      <c r="I1806" s="669"/>
      <c r="J1806" s="674"/>
      <c r="K1806" s="674"/>
      <c r="L1806" s="674"/>
      <c r="M1806" s="674"/>
      <c r="N1806" s="674"/>
      <c r="O1806" s="674"/>
      <c r="Q1806" s="674"/>
    </row>
    <row r="1807" spans="1:17">
      <c r="B1807" s="330"/>
      <c r="C1807" s="576" t="s">
        <v>289</v>
      </c>
      <c r="D1807" s="673"/>
      <c r="E1807" s="673"/>
      <c r="F1807" s="673"/>
      <c r="G1807" s="673"/>
      <c r="H1807" s="669"/>
      <c r="I1807" s="669"/>
      <c r="J1807" s="674"/>
      <c r="K1807" s="674"/>
      <c r="L1807" s="674"/>
      <c r="M1807" s="674"/>
      <c r="N1807" s="674"/>
      <c r="O1807" s="674"/>
      <c r="Q1807" s="674"/>
    </row>
    <row r="1808" spans="1:17" ht="20.25">
      <c r="A1808" s="675" t="s">
        <v>764</v>
      </c>
      <c r="B1808" s="542"/>
      <c r="C1808" s="655"/>
      <c r="D1808" s="563"/>
      <c r="E1808" s="542"/>
      <c r="F1808" s="645"/>
      <c r="G1808" s="645"/>
      <c r="H1808" s="542"/>
      <c r="I1808" s="646"/>
      <c r="L1808" s="676"/>
      <c r="M1808" s="676"/>
      <c r="N1808" s="676"/>
      <c r="O1808" s="591" t="str">
        <f>"Page "&amp;SUM(Q$3:Q1808)&amp;" of "</f>
        <v xml:space="preserve">Page 22 of </v>
      </c>
      <c r="P1808" s="592">
        <f>COUNT(Q$8:Q$58212)</f>
        <v>23</v>
      </c>
      <c r="Q1808" s="756">
        <v>1</v>
      </c>
    </row>
    <row r="1809" spans="1:17">
      <c r="B1809" s="542"/>
      <c r="C1809" s="542"/>
      <c r="D1809" s="563"/>
      <c r="E1809" s="542"/>
      <c r="F1809" s="542"/>
      <c r="G1809" s="542"/>
      <c r="H1809" s="542"/>
      <c r="I1809" s="646"/>
      <c r="J1809" s="542"/>
      <c r="K1809" s="588"/>
      <c r="Q1809" s="588"/>
    </row>
    <row r="1810" spans="1:17" ht="18">
      <c r="B1810" s="595" t="s">
        <v>174</v>
      </c>
      <c r="C1810" s="677" t="s">
        <v>290</v>
      </c>
      <c r="D1810" s="563"/>
      <c r="E1810" s="542"/>
      <c r="F1810" s="542"/>
      <c r="G1810" s="542"/>
      <c r="H1810" s="542"/>
      <c r="I1810" s="646"/>
      <c r="J1810" s="646"/>
      <c r="K1810" s="669"/>
      <c r="L1810" s="646"/>
      <c r="M1810" s="646"/>
      <c r="N1810" s="646"/>
      <c r="O1810" s="646"/>
      <c r="Q1810" s="669"/>
    </row>
    <row r="1811" spans="1:17" ht="18.75">
      <c r="B1811" s="595"/>
      <c r="C1811" s="594"/>
      <c r="D1811" s="563"/>
      <c r="E1811" s="542"/>
      <c r="F1811" s="542"/>
      <c r="G1811" s="542"/>
      <c r="H1811" s="542"/>
      <c r="I1811" s="646"/>
      <c r="J1811" s="646"/>
      <c r="K1811" s="669"/>
      <c r="L1811" s="646"/>
      <c r="M1811" s="646"/>
      <c r="N1811" s="646"/>
      <c r="O1811" s="646"/>
      <c r="Q1811" s="669"/>
    </row>
    <row r="1812" spans="1:17" ht="18.75">
      <c r="B1812" s="595"/>
      <c r="C1812" s="594" t="s">
        <v>291</v>
      </c>
      <c r="D1812" s="563"/>
      <c r="E1812" s="542"/>
      <c r="F1812" s="542"/>
      <c r="G1812" s="542"/>
      <c r="H1812" s="542"/>
      <c r="I1812" s="646"/>
      <c r="J1812" s="646"/>
      <c r="K1812" s="669"/>
      <c r="L1812" s="646"/>
      <c r="M1812" s="646"/>
      <c r="N1812" s="646"/>
      <c r="O1812" s="646"/>
      <c r="Q1812" s="669"/>
    </row>
    <row r="1813" spans="1:17" ht="15.75" thickBot="1">
      <c r="B1813" s="330"/>
      <c r="C1813" s="396"/>
      <c r="D1813" s="563"/>
      <c r="E1813" s="542"/>
      <c r="F1813" s="542"/>
      <c r="G1813" s="542"/>
      <c r="H1813" s="542"/>
      <c r="I1813" s="646"/>
      <c r="J1813" s="646"/>
      <c r="K1813" s="669"/>
      <c r="L1813" s="646"/>
      <c r="M1813" s="646"/>
      <c r="N1813" s="646"/>
      <c r="O1813" s="646"/>
      <c r="Q1813" s="669"/>
    </row>
    <row r="1814" spans="1:17" ht="15.75">
      <c r="B1814" s="330"/>
      <c r="C1814" s="596" t="s">
        <v>292</v>
      </c>
      <c r="D1814" s="563"/>
      <c r="E1814" s="542"/>
      <c r="F1814" s="542"/>
      <c r="G1814" s="542"/>
      <c r="H1814" s="864"/>
      <c r="I1814" s="542" t="s">
        <v>271</v>
      </c>
      <c r="J1814" s="542"/>
      <c r="K1814" s="588"/>
      <c r="L1814" s="757">
        <f>+J1820</f>
        <v>2021</v>
      </c>
      <c r="M1814" s="739" t="s">
        <v>254</v>
      </c>
      <c r="N1814" s="739" t="s">
        <v>255</v>
      </c>
      <c r="O1814" s="740" t="s">
        <v>256</v>
      </c>
      <c r="Q1814" s="588"/>
    </row>
    <row r="1815" spans="1:17" ht="15.75">
      <c r="B1815" s="330"/>
      <c r="C1815" s="596"/>
      <c r="D1815" s="563"/>
      <c r="E1815" s="542"/>
      <c r="F1815" s="542"/>
      <c r="H1815" s="542"/>
      <c r="I1815" s="681"/>
      <c r="J1815" s="681"/>
      <c r="K1815" s="682"/>
      <c r="L1815" s="758" t="s">
        <v>455</v>
      </c>
      <c r="M1815" s="759">
        <f>VLOOKUP(J1820,C1827:P1886,10)</f>
        <v>36250.871364654195</v>
      </c>
      <c r="N1815" s="759">
        <f>VLOOKUP(J1820,C1827:P1886,12)</f>
        <v>36250.871364654195</v>
      </c>
      <c r="O1815" s="760">
        <f>+N1815-M1815</f>
        <v>0</v>
      </c>
      <c r="Q1815" s="682"/>
    </row>
    <row r="1816" spans="1:17">
      <c r="B1816" s="330"/>
      <c r="C1816" s="684" t="s">
        <v>293</v>
      </c>
      <c r="D1816" s="1290" t="s">
        <v>966</v>
      </c>
      <c r="E1816" s="1290"/>
      <c r="F1816" s="1290"/>
      <c r="G1816" s="1290"/>
      <c r="H1816" s="1311"/>
      <c r="I1816" s="1311"/>
      <c r="J1816" s="646"/>
      <c r="K1816" s="669"/>
      <c r="L1816" s="758" t="s">
        <v>456</v>
      </c>
      <c r="M1816" s="761">
        <f>VLOOKUP(J1820,C1827:P1886,6)</f>
        <v>38409.308190710224</v>
      </c>
      <c r="N1816" s="761">
        <f>VLOOKUP(J1820,C1827:P1886,7)</f>
        <v>38409.308190710224</v>
      </c>
      <c r="O1816" s="762">
        <f>+N1816-M1816</f>
        <v>0</v>
      </c>
      <c r="Q1816" s="669"/>
    </row>
    <row r="1817" spans="1:17" ht="13.5" thickBot="1">
      <c r="B1817" s="330"/>
      <c r="C1817" s="686"/>
      <c r="D1817" s="690" t="s">
        <v>114</v>
      </c>
      <c r="E1817" s="688"/>
      <c r="F1817" s="688"/>
      <c r="G1817" s="688"/>
      <c r="H1817" s="688"/>
      <c r="I1817" s="688"/>
      <c r="J1817" s="646"/>
      <c r="K1817" s="669"/>
      <c r="L1817" s="705" t="s">
        <v>457</v>
      </c>
      <c r="M1817" s="763">
        <f>+M1816-M1815</f>
        <v>2158.4368260560295</v>
      </c>
      <c r="N1817" s="763">
        <f>+N1816-N1815</f>
        <v>2158.4368260560295</v>
      </c>
      <c r="O1817" s="764">
        <f>+O1816-O1815</f>
        <v>0</v>
      </c>
      <c r="Q1817" s="669"/>
    </row>
    <row r="1818" spans="1:17" ht="13.5" thickBot="1">
      <c r="B1818" s="330"/>
      <c r="C1818" s="689"/>
      <c r="D1818" s="690"/>
      <c r="E1818" s="688"/>
      <c r="F1818" s="688"/>
      <c r="G1818" s="688"/>
      <c r="H1818" s="688"/>
      <c r="I1818" s="688"/>
      <c r="J1818" s="688"/>
      <c r="K1818" s="691"/>
      <c r="L1818" s="688"/>
      <c r="M1818" s="688"/>
      <c r="N1818" s="688"/>
      <c r="O1818" s="688"/>
      <c r="P1818" s="576"/>
      <c r="Q1818" s="691"/>
    </row>
    <row r="1819" spans="1:17" ht="12.95" customHeight="1" thickBot="1">
      <c r="B1819" s="330"/>
      <c r="C1819" s="692" t="s">
        <v>294</v>
      </c>
      <c r="D1819" s="693"/>
      <c r="E1819" s="693"/>
      <c r="F1819" s="693"/>
      <c r="G1819" s="693"/>
      <c r="H1819" s="693"/>
      <c r="I1819" s="693"/>
      <c r="J1819" s="693"/>
      <c r="K1819" s="695"/>
      <c r="P1819" s="696"/>
      <c r="Q1819" s="695"/>
    </row>
    <row r="1820" spans="1:17" ht="15">
      <c r="A1820" s="1310"/>
      <c r="B1820" s="330"/>
      <c r="C1820" s="697" t="s">
        <v>272</v>
      </c>
      <c r="D1820" s="1253">
        <v>242014.61</v>
      </c>
      <c r="E1820" s="655" t="s">
        <v>273</v>
      </c>
      <c r="H1820" s="698"/>
      <c r="I1820" s="698"/>
      <c r="J1820" s="1451">
        <f>$J$95</f>
        <v>2021</v>
      </c>
      <c r="K1820" s="586"/>
      <c r="L1820" s="1717" t="s">
        <v>274</v>
      </c>
      <c r="M1820" s="1717"/>
      <c r="N1820" s="1717"/>
      <c r="O1820" s="1717"/>
      <c r="P1820" s="588"/>
      <c r="Q1820" s="586"/>
    </row>
    <row r="1821" spans="1:17">
      <c r="A1821" s="1310"/>
      <c r="B1821" s="330"/>
      <c r="C1821" s="697" t="s">
        <v>275</v>
      </c>
      <c r="D1821" s="865">
        <v>2016</v>
      </c>
      <c r="E1821" s="697" t="s">
        <v>276</v>
      </c>
      <c r="F1821" s="698"/>
      <c r="G1821" s="698"/>
      <c r="I1821" s="330"/>
      <c r="J1821" s="867">
        <v>0</v>
      </c>
      <c r="K1821" s="700"/>
      <c r="L1821" s="669" t="s">
        <v>475</v>
      </c>
      <c r="P1821" s="588"/>
      <c r="Q1821" s="700"/>
    </row>
    <row r="1822" spans="1:17">
      <c r="A1822" s="1310"/>
      <c r="B1822" s="330"/>
      <c r="C1822" s="697" t="s">
        <v>277</v>
      </c>
      <c r="D1822" s="1253">
        <v>6</v>
      </c>
      <c r="E1822" s="697" t="s">
        <v>278</v>
      </c>
      <c r="F1822" s="698"/>
      <c r="G1822" s="698"/>
      <c r="I1822" s="330"/>
      <c r="J1822" s="701">
        <f>$F$70</f>
        <v>0.15341253840442806</v>
      </c>
      <c r="K1822" s="702"/>
      <c r="L1822" s="542" t="str">
        <f>"          INPUT TRUE-UP ARR (WITH &amp; WITHOUT INCENTIVES) FROM EACH PRIOR YEAR"</f>
        <v xml:space="preserve">          INPUT TRUE-UP ARR (WITH &amp; WITHOUT INCENTIVES) FROM EACH PRIOR YEAR</v>
      </c>
      <c r="P1822" s="588"/>
      <c r="Q1822" s="702"/>
    </row>
    <row r="1823" spans="1:17">
      <c r="A1823" s="1310"/>
      <c r="B1823" s="330"/>
      <c r="C1823" s="697" t="s">
        <v>279</v>
      </c>
      <c r="D1823" s="703">
        <f>H79</f>
        <v>44</v>
      </c>
      <c r="E1823" s="697" t="s">
        <v>280</v>
      </c>
      <c r="F1823" s="698"/>
      <c r="G1823" s="698"/>
      <c r="I1823" s="330"/>
      <c r="J1823" s="701">
        <f>IF(H1814="",J1822,$F$69)</f>
        <v>0.15341253840442806</v>
      </c>
      <c r="K1823" s="704"/>
      <c r="L1823" s="542" t="s">
        <v>362</v>
      </c>
      <c r="M1823" s="704"/>
      <c r="N1823" s="704"/>
      <c r="O1823" s="704"/>
      <c r="P1823" s="588"/>
      <c r="Q1823" s="704"/>
    </row>
    <row r="1824" spans="1:17" ht="13.5" thickBot="1">
      <c r="A1824" s="1310"/>
      <c r="B1824" s="330"/>
      <c r="C1824" s="697" t="s">
        <v>281</v>
      </c>
      <c r="D1824" s="866" t="s">
        <v>933</v>
      </c>
      <c r="E1824" s="705" t="s">
        <v>282</v>
      </c>
      <c r="F1824" s="706"/>
      <c r="G1824" s="706"/>
      <c r="H1824" s="707"/>
      <c r="I1824" s="707"/>
      <c r="J1824" s="685">
        <f>IF(D1820=0,0,D1820/D1823)</f>
        <v>5500.3320454545456</v>
      </c>
      <c r="K1824" s="669"/>
      <c r="L1824" s="669" t="s">
        <v>363</v>
      </c>
      <c r="M1824" s="669"/>
      <c r="N1824" s="669"/>
      <c r="O1824" s="669"/>
      <c r="P1824" s="588"/>
      <c r="Q1824" s="669"/>
    </row>
    <row r="1825" spans="1:17" ht="38.25">
      <c r="A1825" s="529"/>
      <c r="B1825" s="529"/>
      <c r="C1825" s="708" t="s">
        <v>272</v>
      </c>
      <c r="D1825" s="709" t="s">
        <v>283</v>
      </c>
      <c r="E1825" s="710" t="s">
        <v>284</v>
      </c>
      <c r="F1825" s="709" t="s">
        <v>285</v>
      </c>
      <c r="G1825" s="709" t="s">
        <v>458</v>
      </c>
      <c r="H1825" s="710" t="s">
        <v>356</v>
      </c>
      <c r="I1825" s="711" t="s">
        <v>356</v>
      </c>
      <c r="J1825" s="708" t="s">
        <v>295</v>
      </c>
      <c r="K1825" s="712"/>
      <c r="L1825" s="710" t="s">
        <v>358</v>
      </c>
      <c r="M1825" s="710" t="s">
        <v>364</v>
      </c>
      <c r="N1825" s="710" t="s">
        <v>358</v>
      </c>
      <c r="O1825" s="710" t="s">
        <v>366</v>
      </c>
      <c r="P1825" s="710" t="s">
        <v>286</v>
      </c>
      <c r="Q1825" s="713"/>
    </row>
    <row r="1826" spans="1:17" ht="13.5" thickBot="1">
      <c r="B1826" s="330"/>
      <c r="C1826" s="714" t="s">
        <v>177</v>
      </c>
      <c r="D1826" s="715" t="s">
        <v>178</v>
      </c>
      <c r="E1826" s="714" t="s">
        <v>37</v>
      </c>
      <c r="F1826" s="715" t="s">
        <v>178</v>
      </c>
      <c r="G1826" s="715" t="s">
        <v>178</v>
      </c>
      <c r="H1826" s="716" t="s">
        <v>298</v>
      </c>
      <c r="I1826" s="717" t="s">
        <v>300</v>
      </c>
      <c r="J1826" s="718" t="s">
        <v>389</v>
      </c>
      <c r="K1826" s="719"/>
      <c r="L1826" s="716" t="s">
        <v>287</v>
      </c>
      <c r="M1826" s="716" t="s">
        <v>287</v>
      </c>
      <c r="N1826" s="716" t="s">
        <v>467</v>
      </c>
      <c r="O1826" s="716" t="s">
        <v>467</v>
      </c>
      <c r="P1826" s="716" t="s">
        <v>467</v>
      </c>
      <c r="Q1826" s="586"/>
    </row>
    <row r="1827" spans="1:17">
      <c r="B1827" s="330"/>
      <c r="C1827" s="720">
        <f>IF(D1821= "","-",D1821)</f>
        <v>2016</v>
      </c>
      <c r="D1827" s="673">
        <f>+D1820</f>
        <v>242014.61</v>
      </c>
      <c r="E1827" s="721">
        <f>+J1824/12*(12-D1822)</f>
        <v>2750.1660227272728</v>
      </c>
      <c r="F1827" s="765">
        <f t="shared" ref="F1827:F1886" si="168">+D1827-E1827</f>
        <v>239264.44397727272</v>
      </c>
      <c r="G1827" s="673">
        <f t="shared" ref="G1827:G1858" si="169">+(D1827+F1827)/2</f>
        <v>240639.52698863635</v>
      </c>
      <c r="H1827" s="722">
        <f>+J1822*G1827+E1827</f>
        <v>39667.286698494849</v>
      </c>
      <c r="I1827" s="723">
        <f>+J1823*G1827+E1827</f>
        <v>39667.286698494849</v>
      </c>
      <c r="J1827" s="724">
        <f t="shared" ref="J1827:J1858" si="170">+I1827-H1827</f>
        <v>0</v>
      </c>
      <c r="K1827" s="724"/>
      <c r="L1827" s="728">
        <v>0</v>
      </c>
      <c r="M1827" s="766">
        <f t="shared" ref="M1827:M1858" si="171">IF(L1827&lt;&gt;0,+H1827-L1827,0)</f>
        <v>0</v>
      </c>
      <c r="N1827" s="728">
        <v>0</v>
      </c>
      <c r="O1827" s="766">
        <f t="shared" ref="O1827:O1858" si="172">IF(N1827&lt;&gt;0,+I1827-N1827,0)</f>
        <v>0</v>
      </c>
      <c r="P1827" s="766">
        <f t="shared" ref="P1827:P1886" si="173">+O1827-M1827</f>
        <v>0</v>
      </c>
      <c r="Q1827" s="674"/>
    </row>
    <row r="1828" spans="1:17">
      <c r="B1828" s="330"/>
      <c r="C1828" s="720">
        <f>IF(D1821="","-",+C1827+1)</f>
        <v>2017</v>
      </c>
      <c r="D1828" s="673">
        <f t="shared" ref="D1828:D1886" si="174">F1827</f>
        <v>239264.44397727272</v>
      </c>
      <c r="E1828" s="726">
        <f>IF(D1828&gt;$J$1824,$J$1824,D1828)</f>
        <v>5500.3320454545456</v>
      </c>
      <c r="F1828" s="726">
        <f t="shared" si="168"/>
        <v>233764.11193181819</v>
      </c>
      <c r="G1828" s="673">
        <f t="shared" si="169"/>
        <v>236514.27795454545</v>
      </c>
      <c r="H1828" s="721">
        <f>+J1822*G1828+E1828</f>
        <v>41784.587795351821</v>
      </c>
      <c r="I1828" s="727">
        <f>+J1823*G1828+E1828</f>
        <v>41784.587795351821</v>
      </c>
      <c r="J1828" s="724">
        <f t="shared" si="170"/>
        <v>0</v>
      </c>
      <c r="K1828" s="724"/>
      <c r="L1828" s="728">
        <v>51695</v>
      </c>
      <c r="M1828" s="724">
        <f t="shared" si="171"/>
        <v>-9910.4122046481789</v>
      </c>
      <c r="N1828" s="728">
        <v>51695</v>
      </c>
      <c r="O1828" s="724">
        <f t="shared" si="172"/>
        <v>-9910.4122046481789</v>
      </c>
      <c r="P1828" s="724">
        <f t="shared" si="173"/>
        <v>0</v>
      </c>
      <c r="Q1828" s="674"/>
    </row>
    <row r="1829" spans="1:17">
      <c r="B1829" s="330"/>
      <c r="C1829" s="720">
        <f>IF(D1821="","-",+C1828+1)</f>
        <v>2018</v>
      </c>
      <c r="D1829" s="1455">
        <f t="shared" si="174"/>
        <v>233764.11193181819</v>
      </c>
      <c r="E1829" s="726">
        <f t="shared" ref="E1829:E1886" si="175">IF(D1829&gt;$J$1824,$J$1824,D1829)</f>
        <v>5500.3320454545456</v>
      </c>
      <c r="F1829" s="726">
        <f t="shared" si="168"/>
        <v>228263.77988636366</v>
      </c>
      <c r="G1829" s="673">
        <f t="shared" si="169"/>
        <v>231013.94590909092</v>
      </c>
      <c r="H1829" s="721">
        <f>+J1822*G1829+E1829</f>
        <v>40940.767894191427</v>
      </c>
      <c r="I1829" s="727">
        <f>+J1823*G1829+E1829</f>
        <v>40940.767894191427</v>
      </c>
      <c r="J1829" s="724">
        <f t="shared" si="170"/>
        <v>0</v>
      </c>
      <c r="K1829" s="724"/>
      <c r="L1829" s="728">
        <v>40449</v>
      </c>
      <c r="M1829" s="724">
        <f t="shared" si="171"/>
        <v>491.76789419142733</v>
      </c>
      <c r="N1829" s="728">
        <v>40449</v>
      </c>
      <c r="O1829" s="724">
        <f t="shared" si="172"/>
        <v>491.76789419142733</v>
      </c>
      <c r="P1829" s="724">
        <f t="shared" si="173"/>
        <v>0</v>
      </c>
      <c r="Q1829" s="674"/>
    </row>
    <row r="1830" spans="1:17">
      <c r="B1830" s="330"/>
      <c r="C1830" s="720">
        <f>IF(D1821="","-",+C1829+1)</f>
        <v>2019</v>
      </c>
      <c r="D1830" s="1269">
        <f t="shared" si="174"/>
        <v>228263.77988636366</v>
      </c>
      <c r="E1830" s="726">
        <f t="shared" si="175"/>
        <v>5500.3320454545456</v>
      </c>
      <c r="F1830" s="726">
        <f t="shared" si="168"/>
        <v>222763.44784090912</v>
      </c>
      <c r="G1830" s="673">
        <f t="shared" si="169"/>
        <v>225513.61386363639</v>
      </c>
      <c r="H1830" s="721">
        <f>+J1822*G1830+E1830</f>
        <v>40096.947993031026</v>
      </c>
      <c r="I1830" s="727">
        <f>+J1823*G1830+E1830</f>
        <v>40096.947993031026</v>
      </c>
      <c r="J1830" s="724">
        <f t="shared" si="170"/>
        <v>0</v>
      </c>
      <c r="K1830" s="724"/>
      <c r="L1830" s="1452">
        <v>39370</v>
      </c>
      <c r="M1830" s="724">
        <f t="shared" si="171"/>
        <v>726.94799303102627</v>
      </c>
      <c r="N1830" s="1452">
        <v>39370</v>
      </c>
      <c r="O1830" s="724">
        <f t="shared" si="172"/>
        <v>726.94799303102627</v>
      </c>
      <c r="P1830" s="724">
        <f t="shared" si="173"/>
        <v>0</v>
      </c>
      <c r="Q1830" s="674"/>
    </row>
    <row r="1831" spans="1:17">
      <c r="B1831" s="330"/>
      <c r="C1831" s="720">
        <f>IF(D1821="","-",+C1830+1)</f>
        <v>2020</v>
      </c>
      <c r="D1831" s="1269">
        <f t="shared" si="174"/>
        <v>222763.44784090912</v>
      </c>
      <c r="E1831" s="726">
        <f t="shared" si="175"/>
        <v>5500.3320454545456</v>
      </c>
      <c r="F1831" s="726">
        <f t="shared" si="168"/>
        <v>217263.11579545459</v>
      </c>
      <c r="G1831" s="673">
        <f t="shared" si="169"/>
        <v>220013.28181818186</v>
      </c>
      <c r="H1831" s="721">
        <f>+J1822*G1831+E1831</f>
        <v>39253.128091870625</v>
      </c>
      <c r="I1831" s="727">
        <f>+J1823*G1831+E1831</f>
        <v>39253.128091870625</v>
      </c>
      <c r="J1831" s="724">
        <f t="shared" si="170"/>
        <v>0</v>
      </c>
      <c r="K1831" s="724"/>
      <c r="L1831" s="728">
        <v>37964.794461843623</v>
      </c>
      <c r="M1831" s="724">
        <f t="shared" si="171"/>
        <v>1288.3336300270021</v>
      </c>
      <c r="N1831" s="1548">
        <v>37964.794461843623</v>
      </c>
      <c r="O1831" s="724">
        <f t="shared" si="172"/>
        <v>1288.3336300270021</v>
      </c>
      <c r="P1831" s="724">
        <f t="shared" si="173"/>
        <v>0</v>
      </c>
      <c r="Q1831" s="674"/>
    </row>
    <row r="1832" spans="1:17">
      <c r="B1832" s="330"/>
      <c r="C1832" s="720">
        <f>IF(D1821="","-",+C1831+1)</f>
        <v>2021</v>
      </c>
      <c r="D1832" s="1269">
        <f t="shared" si="174"/>
        <v>217263.11579545459</v>
      </c>
      <c r="E1832" s="726">
        <f t="shared" si="175"/>
        <v>5500.3320454545456</v>
      </c>
      <c r="F1832" s="726">
        <f t="shared" si="168"/>
        <v>211762.78375000006</v>
      </c>
      <c r="G1832" s="673">
        <f t="shared" si="169"/>
        <v>214512.94977272733</v>
      </c>
      <c r="H1832" s="721">
        <f>+J1822*G1832+E1832</f>
        <v>38409.308190710224</v>
      </c>
      <c r="I1832" s="727">
        <f>+J1823*G1832+E1832</f>
        <v>38409.308190710224</v>
      </c>
      <c r="J1832" s="724">
        <f t="shared" si="170"/>
        <v>0</v>
      </c>
      <c r="K1832" s="724"/>
      <c r="L1832" s="728">
        <v>36250.871364654195</v>
      </c>
      <c r="M1832" s="724">
        <f t="shared" si="171"/>
        <v>2158.4368260560295</v>
      </c>
      <c r="N1832" s="1548">
        <v>36250.871364654195</v>
      </c>
      <c r="O1832" s="724">
        <f t="shared" si="172"/>
        <v>2158.4368260560295</v>
      </c>
      <c r="P1832" s="724">
        <f t="shared" si="173"/>
        <v>0</v>
      </c>
      <c r="Q1832" s="674"/>
    </row>
    <row r="1833" spans="1:17">
      <c r="B1833" s="330"/>
      <c r="C1833" s="720">
        <f>IF(D1821="","-",+C1832+1)</f>
        <v>2022</v>
      </c>
      <c r="D1833" s="1269">
        <f t="shared" si="174"/>
        <v>211762.78375000006</v>
      </c>
      <c r="E1833" s="726">
        <f t="shared" si="175"/>
        <v>5500.3320454545456</v>
      </c>
      <c r="F1833" s="726">
        <f t="shared" si="168"/>
        <v>206262.45170454553</v>
      </c>
      <c r="G1833" s="673">
        <f t="shared" si="169"/>
        <v>209012.61772727279</v>
      </c>
      <c r="H1833" s="721">
        <f>+J1822*G1833+E1833</f>
        <v>37565.488289549823</v>
      </c>
      <c r="I1833" s="727">
        <f>+J1823*G1833+E1833</f>
        <v>37565.488289549823</v>
      </c>
      <c r="J1833" s="724">
        <f t="shared" si="170"/>
        <v>0</v>
      </c>
      <c r="K1833" s="724"/>
      <c r="L1833" s="728">
        <v>0</v>
      </c>
      <c r="M1833" s="724">
        <f t="shared" si="171"/>
        <v>0</v>
      </c>
      <c r="N1833" s="728">
        <v>0</v>
      </c>
      <c r="O1833" s="724">
        <f t="shared" si="172"/>
        <v>0</v>
      </c>
      <c r="P1833" s="724">
        <f t="shared" si="173"/>
        <v>0</v>
      </c>
      <c r="Q1833" s="674"/>
    </row>
    <row r="1834" spans="1:17">
      <c r="B1834" s="330"/>
      <c r="C1834" s="720">
        <f>IF(D1821="","-",+C1833+1)</f>
        <v>2023</v>
      </c>
      <c r="D1834" s="673">
        <f t="shared" si="174"/>
        <v>206262.45170454553</v>
      </c>
      <c r="E1834" s="726">
        <f t="shared" si="175"/>
        <v>5500.3320454545456</v>
      </c>
      <c r="F1834" s="726">
        <f t="shared" si="168"/>
        <v>200762.119659091</v>
      </c>
      <c r="G1834" s="673">
        <f t="shared" si="169"/>
        <v>203512.28568181826</v>
      </c>
      <c r="H1834" s="721">
        <f>+J1822*G1834+E1834</f>
        <v>36721.668388389422</v>
      </c>
      <c r="I1834" s="727">
        <f>+J1823*G1834+E1834</f>
        <v>36721.668388389422</v>
      </c>
      <c r="J1834" s="724">
        <f t="shared" si="170"/>
        <v>0</v>
      </c>
      <c r="K1834" s="724"/>
      <c r="L1834" s="728">
        <v>0</v>
      </c>
      <c r="M1834" s="724">
        <f t="shared" si="171"/>
        <v>0</v>
      </c>
      <c r="N1834" s="728">
        <v>0</v>
      </c>
      <c r="O1834" s="724">
        <f t="shared" si="172"/>
        <v>0</v>
      </c>
      <c r="P1834" s="724">
        <f t="shared" si="173"/>
        <v>0</v>
      </c>
      <c r="Q1834" s="674"/>
    </row>
    <row r="1835" spans="1:17">
      <c r="B1835" s="330"/>
      <c r="C1835" s="720">
        <f>IF(D1821="","-",+C1834+1)</f>
        <v>2024</v>
      </c>
      <c r="D1835" s="673">
        <f t="shared" si="174"/>
        <v>200762.119659091</v>
      </c>
      <c r="E1835" s="726">
        <f t="shared" si="175"/>
        <v>5500.3320454545456</v>
      </c>
      <c r="F1835" s="726">
        <f t="shared" si="168"/>
        <v>195261.78761363646</v>
      </c>
      <c r="G1835" s="673">
        <f t="shared" si="169"/>
        <v>198011.95363636373</v>
      </c>
      <c r="H1835" s="721">
        <f>+J1822*G1835+E1835</f>
        <v>35877.848487229021</v>
      </c>
      <c r="I1835" s="727">
        <f>+J1823*G1835+E1835</f>
        <v>35877.848487229021</v>
      </c>
      <c r="J1835" s="724">
        <f t="shared" si="170"/>
        <v>0</v>
      </c>
      <c r="K1835" s="724"/>
      <c r="L1835" s="728">
        <v>0</v>
      </c>
      <c r="M1835" s="724">
        <f t="shared" si="171"/>
        <v>0</v>
      </c>
      <c r="N1835" s="728">
        <v>0</v>
      </c>
      <c r="O1835" s="724">
        <f t="shared" si="172"/>
        <v>0</v>
      </c>
      <c r="P1835" s="724">
        <f t="shared" si="173"/>
        <v>0</v>
      </c>
      <c r="Q1835" s="674"/>
    </row>
    <row r="1836" spans="1:17">
      <c r="B1836" s="330"/>
      <c r="C1836" s="1291">
        <f>IF(D1821="","-",+C1835+1)</f>
        <v>2025</v>
      </c>
      <c r="D1836" s="673">
        <f t="shared" si="174"/>
        <v>195261.78761363646</v>
      </c>
      <c r="E1836" s="726">
        <f t="shared" si="175"/>
        <v>5500.3320454545456</v>
      </c>
      <c r="F1836" s="726">
        <f t="shared" si="168"/>
        <v>189761.45556818193</v>
      </c>
      <c r="G1836" s="673">
        <f t="shared" si="169"/>
        <v>192511.6215909092</v>
      </c>
      <c r="H1836" s="721">
        <f>+J1822*G1836+E1836</f>
        <v>35034.028586068627</v>
      </c>
      <c r="I1836" s="727">
        <f>+J1823*G1836+E1836</f>
        <v>35034.028586068627</v>
      </c>
      <c r="J1836" s="724">
        <f t="shared" si="170"/>
        <v>0</v>
      </c>
      <c r="K1836" s="724"/>
      <c r="L1836" s="728">
        <v>0</v>
      </c>
      <c r="M1836" s="724">
        <f t="shared" si="171"/>
        <v>0</v>
      </c>
      <c r="N1836" s="728">
        <v>0</v>
      </c>
      <c r="O1836" s="724">
        <f t="shared" si="172"/>
        <v>0</v>
      </c>
      <c r="P1836" s="724">
        <f t="shared" si="173"/>
        <v>0</v>
      </c>
      <c r="Q1836" s="674"/>
    </row>
    <row r="1837" spans="1:17">
      <c r="B1837" s="330"/>
      <c r="C1837" s="720">
        <f>IF(D1821="","-",+C1836+1)</f>
        <v>2026</v>
      </c>
      <c r="D1837" s="673">
        <f t="shared" si="174"/>
        <v>189761.45556818193</v>
      </c>
      <c r="E1837" s="726">
        <f t="shared" si="175"/>
        <v>5500.3320454545456</v>
      </c>
      <c r="F1837" s="726">
        <f t="shared" si="168"/>
        <v>184261.1235227274</v>
      </c>
      <c r="G1837" s="673">
        <f t="shared" si="169"/>
        <v>187011.28954545467</v>
      </c>
      <c r="H1837" s="721">
        <f>+J1822*G1837+E1837</f>
        <v>34190.208684908226</v>
      </c>
      <c r="I1837" s="727">
        <f>+J1823*G1837+E1837</f>
        <v>34190.208684908226</v>
      </c>
      <c r="J1837" s="724">
        <f t="shared" si="170"/>
        <v>0</v>
      </c>
      <c r="K1837" s="724"/>
      <c r="L1837" s="728"/>
      <c r="M1837" s="724">
        <f t="shared" si="171"/>
        <v>0</v>
      </c>
      <c r="N1837" s="728"/>
      <c r="O1837" s="724">
        <f t="shared" si="172"/>
        <v>0</v>
      </c>
      <c r="P1837" s="724">
        <f t="shared" si="173"/>
        <v>0</v>
      </c>
      <c r="Q1837" s="674"/>
    </row>
    <row r="1838" spans="1:17">
      <c r="B1838" s="330"/>
      <c r="C1838" s="720">
        <f>IF(D1821="","-",+C1837+1)</f>
        <v>2027</v>
      </c>
      <c r="D1838" s="673">
        <f t="shared" si="174"/>
        <v>184261.1235227274</v>
      </c>
      <c r="E1838" s="726">
        <f t="shared" si="175"/>
        <v>5500.3320454545456</v>
      </c>
      <c r="F1838" s="726">
        <f t="shared" si="168"/>
        <v>178760.79147727287</v>
      </c>
      <c r="G1838" s="673">
        <f t="shared" si="169"/>
        <v>181510.95750000014</v>
      </c>
      <c r="H1838" s="721">
        <f>+J1822*G1838+E1838</f>
        <v>33346.388783747825</v>
      </c>
      <c r="I1838" s="727">
        <f>+J1823*G1838+E1838</f>
        <v>33346.388783747825</v>
      </c>
      <c r="J1838" s="724">
        <f t="shared" si="170"/>
        <v>0</v>
      </c>
      <c r="K1838" s="724"/>
      <c r="L1838" s="728"/>
      <c r="M1838" s="724">
        <f t="shared" si="171"/>
        <v>0</v>
      </c>
      <c r="N1838" s="728"/>
      <c r="O1838" s="724">
        <f t="shared" si="172"/>
        <v>0</v>
      </c>
      <c r="P1838" s="724">
        <f t="shared" si="173"/>
        <v>0</v>
      </c>
      <c r="Q1838" s="674"/>
    </row>
    <row r="1839" spans="1:17">
      <c r="B1839" s="330"/>
      <c r="C1839" s="720">
        <f>IF(D1821="","-",+C1838+1)</f>
        <v>2028</v>
      </c>
      <c r="D1839" s="673">
        <f t="shared" si="174"/>
        <v>178760.79147727287</v>
      </c>
      <c r="E1839" s="726">
        <f t="shared" si="175"/>
        <v>5500.3320454545456</v>
      </c>
      <c r="F1839" s="726">
        <f t="shared" si="168"/>
        <v>173260.45943181834</v>
      </c>
      <c r="G1839" s="673">
        <f t="shared" si="169"/>
        <v>176010.6254545456</v>
      </c>
      <c r="H1839" s="721">
        <f>+J1822*G1839+E1839</f>
        <v>32502.568882587428</v>
      </c>
      <c r="I1839" s="727">
        <f>+J1823*G1839+E1839</f>
        <v>32502.568882587428</v>
      </c>
      <c r="J1839" s="724">
        <f t="shared" si="170"/>
        <v>0</v>
      </c>
      <c r="K1839" s="724"/>
      <c r="L1839" s="728"/>
      <c r="M1839" s="724">
        <f t="shared" si="171"/>
        <v>0</v>
      </c>
      <c r="N1839" s="728"/>
      <c r="O1839" s="724">
        <f t="shared" si="172"/>
        <v>0</v>
      </c>
      <c r="P1839" s="724">
        <f t="shared" si="173"/>
        <v>0</v>
      </c>
      <c r="Q1839" s="674"/>
    </row>
    <row r="1840" spans="1:17">
      <c r="B1840" s="330"/>
      <c r="C1840" s="720">
        <f>IF(D1821="","-",+C1839+1)</f>
        <v>2029</v>
      </c>
      <c r="D1840" s="673">
        <f t="shared" si="174"/>
        <v>173260.45943181834</v>
      </c>
      <c r="E1840" s="726">
        <f t="shared" si="175"/>
        <v>5500.3320454545456</v>
      </c>
      <c r="F1840" s="726">
        <f t="shared" si="168"/>
        <v>167760.12738636381</v>
      </c>
      <c r="G1840" s="673">
        <f t="shared" si="169"/>
        <v>170510.29340909107</v>
      </c>
      <c r="H1840" s="721">
        <f>+J1822*G1840+E1840</f>
        <v>31658.748981427027</v>
      </c>
      <c r="I1840" s="727">
        <f>+J1823*G1840+E1840</f>
        <v>31658.748981427027</v>
      </c>
      <c r="J1840" s="724">
        <f t="shared" si="170"/>
        <v>0</v>
      </c>
      <c r="K1840" s="724"/>
      <c r="L1840" s="728"/>
      <c r="M1840" s="724">
        <f t="shared" si="171"/>
        <v>0</v>
      </c>
      <c r="N1840" s="728"/>
      <c r="O1840" s="724">
        <f t="shared" si="172"/>
        <v>0</v>
      </c>
      <c r="P1840" s="724">
        <f t="shared" si="173"/>
        <v>0</v>
      </c>
      <c r="Q1840" s="674"/>
    </row>
    <row r="1841" spans="2:17">
      <c r="B1841" s="330"/>
      <c r="C1841" s="720">
        <f>IF(D1821="","-",+C1840+1)</f>
        <v>2030</v>
      </c>
      <c r="D1841" s="673">
        <f t="shared" si="174"/>
        <v>167760.12738636381</v>
      </c>
      <c r="E1841" s="726">
        <f t="shared" si="175"/>
        <v>5500.3320454545456</v>
      </c>
      <c r="F1841" s="726">
        <f t="shared" si="168"/>
        <v>162259.79534090927</v>
      </c>
      <c r="G1841" s="673">
        <f t="shared" si="169"/>
        <v>165009.96136363654</v>
      </c>
      <c r="H1841" s="721">
        <f>+J1822*G1841+E1841</f>
        <v>30814.929080266629</v>
      </c>
      <c r="I1841" s="727">
        <f>+J1823*G1841+E1841</f>
        <v>30814.929080266629</v>
      </c>
      <c r="J1841" s="724">
        <f t="shared" si="170"/>
        <v>0</v>
      </c>
      <c r="K1841" s="724"/>
      <c r="L1841" s="728"/>
      <c r="M1841" s="724">
        <f t="shared" si="171"/>
        <v>0</v>
      </c>
      <c r="N1841" s="728"/>
      <c r="O1841" s="724">
        <f t="shared" si="172"/>
        <v>0</v>
      </c>
      <c r="P1841" s="724">
        <f t="shared" si="173"/>
        <v>0</v>
      </c>
      <c r="Q1841" s="674"/>
    </row>
    <row r="1842" spans="2:17">
      <c r="B1842" s="330"/>
      <c r="C1842" s="720">
        <f>IF(D1821="","-",+C1841+1)</f>
        <v>2031</v>
      </c>
      <c r="D1842" s="673">
        <f t="shared" si="174"/>
        <v>162259.79534090927</v>
      </c>
      <c r="E1842" s="726">
        <f t="shared" si="175"/>
        <v>5500.3320454545456</v>
      </c>
      <c r="F1842" s="726">
        <f t="shared" si="168"/>
        <v>156759.46329545474</v>
      </c>
      <c r="G1842" s="673">
        <f t="shared" si="169"/>
        <v>159509.62931818201</v>
      </c>
      <c r="H1842" s="721">
        <f>+J1822*G1842+E1842</f>
        <v>29971.109179106228</v>
      </c>
      <c r="I1842" s="727">
        <f>+J1823*G1842+E1842</f>
        <v>29971.109179106228</v>
      </c>
      <c r="J1842" s="724">
        <f t="shared" si="170"/>
        <v>0</v>
      </c>
      <c r="K1842" s="724"/>
      <c r="L1842" s="728"/>
      <c r="M1842" s="724">
        <f t="shared" si="171"/>
        <v>0</v>
      </c>
      <c r="N1842" s="728"/>
      <c r="O1842" s="724">
        <f t="shared" si="172"/>
        <v>0</v>
      </c>
      <c r="P1842" s="724">
        <f t="shared" si="173"/>
        <v>0</v>
      </c>
      <c r="Q1842" s="674"/>
    </row>
    <row r="1843" spans="2:17">
      <c r="B1843" s="330"/>
      <c r="C1843" s="720">
        <f>IF(D1821="","-",+C1842+1)</f>
        <v>2032</v>
      </c>
      <c r="D1843" s="673">
        <f t="shared" si="174"/>
        <v>156759.46329545474</v>
      </c>
      <c r="E1843" s="726">
        <f t="shared" si="175"/>
        <v>5500.3320454545456</v>
      </c>
      <c r="F1843" s="726">
        <f t="shared" si="168"/>
        <v>151259.13125000021</v>
      </c>
      <c r="G1843" s="673">
        <f t="shared" si="169"/>
        <v>154009.29727272748</v>
      </c>
      <c r="H1843" s="721">
        <f>+J1822*G1843+E1843</f>
        <v>29127.289277945827</v>
      </c>
      <c r="I1843" s="727">
        <f>+J1823*G1843+E1843</f>
        <v>29127.289277945827</v>
      </c>
      <c r="J1843" s="724">
        <f t="shared" si="170"/>
        <v>0</v>
      </c>
      <c r="K1843" s="724"/>
      <c r="L1843" s="728"/>
      <c r="M1843" s="724">
        <f t="shared" si="171"/>
        <v>0</v>
      </c>
      <c r="N1843" s="728"/>
      <c r="O1843" s="724">
        <f t="shared" si="172"/>
        <v>0</v>
      </c>
      <c r="P1843" s="724">
        <f t="shared" si="173"/>
        <v>0</v>
      </c>
      <c r="Q1843" s="674"/>
    </row>
    <row r="1844" spans="2:17">
      <c r="B1844" s="330"/>
      <c r="C1844" s="720">
        <f>IF(D1821="","-",+C1843+1)</f>
        <v>2033</v>
      </c>
      <c r="D1844" s="673">
        <f t="shared" si="174"/>
        <v>151259.13125000021</v>
      </c>
      <c r="E1844" s="726">
        <f t="shared" si="175"/>
        <v>5500.3320454545456</v>
      </c>
      <c r="F1844" s="726">
        <f t="shared" si="168"/>
        <v>145758.79920454568</v>
      </c>
      <c r="G1844" s="673">
        <f t="shared" si="169"/>
        <v>148508.96522727294</v>
      </c>
      <c r="H1844" s="721">
        <f>+J1822*G1844+E1844</f>
        <v>28283.46937678543</v>
      </c>
      <c r="I1844" s="727">
        <f>+J1823*G1844+E1844</f>
        <v>28283.46937678543</v>
      </c>
      <c r="J1844" s="724">
        <f t="shared" si="170"/>
        <v>0</v>
      </c>
      <c r="K1844" s="724"/>
      <c r="L1844" s="728"/>
      <c r="M1844" s="724">
        <f t="shared" si="171"/>
        <v>0</v>
      </c>
      <c r="N1844" s="728"/>
      <c r="O1844" s="724">
        <f t="shared" si="172"/>
        <v>0</v>
      </c>
      <c r="P1844" s="724">
        <f t="shared" si="173"/>
        <v>0</v>
      </c>
      <c r="Q1844" s="674"/>
    </row>
    <row r="1845" spans="2:17">
      <c r="B1845" s="330"/>
      <c r="C1845" s="720">
        <f>IF(D1821="","-",+C1844+1)</f>
        <v>2034</v>
      </c>
      <c r="D1845" s="673">
        <f t="shared" si="174"/>
        <v>145758.79920454568</v>
      </c>
      <c r="E1845" s="726">
        <f t="shared" si="175"/>
        <v>5500.3320454545456</v>
      </c>
      <c r="F1845" s="726">
        <f t="shared" si="168"/>
        <v>140258.46715909115</v>
      </c>
      <c r="G1845" s="673">
        <f t="shared" si="169"/>
        <v>143008.63318181841</v>
      </c>
      <c r="H1845" s="721">
        <f>+J1822*G1845+E1845</f>
        <v>27439.649475625029</v>
      </c>
      <c r="I1845" s="727">
        <f>+J1823*G1845+E1845</f>
        <v>27439.649475625029</v>
      </c>
      <c r="J1845" s="724">
        <f t="shared" si="170"/>
        <v>0</v>
      </c>
      <c r="K1845" s="724"/>
      <c r="L1845" s="728"/>
      <c r="M1845" s="724">
        <f t="shared" si="171"/>
        <v>0</v>
      </c>
      <c r="N1845" s="728"/>
      <c r="O1845" s="724">
        <f t="shared" si="172"/>
        <v>0</v>
      </c>
      <c r="P1845" s="724">
        <f t="shared" si="173"/>
        <v>0</v>
      </c>
      <c r="Q1845" s="674"/>
    </row>
    <row r="1846" spans="2:17">
      <c r="B1846" s="330"/>
      <c r="C1846" s="720">
        <f>IF(D1821="","-",+C1845+1)</f>
        <v>2035</v>
      </c>
      <c r="D1846" s="673">
        <f t="shared" si="174"/>
        <v>140258.46715909115</v>
      </c>
      <c r="E1846" s="726">
        <f t="shared" si="175"/>
        <v>5500.3320454545456</v>
      </c>
      <c r="F1846" s="726">
        <f t="shared" si="168"/>
        <v>134758.13511363661</v>
      </c>
      <c r="G1846" s="673">
        <f t="shared" si="169"/>
        <v>137508.30113636388</v>
      </c>
      <c r="H1846" s="721">
        <f>+J1822*G1846+E1846</f>
        <v>26595.829574464628</v>
      </c>
      <c r="I1846" s="727">
        <f>+J1823*G1846+E1846</f>
        <v>26595.829574464628</v>
      </c>
      <c r="J1846" s="724">
        <f t="shared" si="170"/>
        <v>0</v>
      </c>
      <c r="K1846" s="724"/>
      <c r="L1846" s="728"/>
      <c r="M1846" s="724">
        <f t="shared" si="171"/>
        <v>0</v>
      </c>
      <c r="N1846" s="728"/>
      <c r="O1846" s="724">
        <f t="shared" si="172"/>
        <v>0</v>
      </c>
      <c r="P1846" s="724">
        <f t="shared" si="173"/>
        <v>0</v>
      </c>
      <c r="Q1846" s="674"/>
    </row>
    <row r="1847" spans="2:17">
      <c r="B1847" s="330"/>
      <c r="C1847" s="720">
        <f>IF(D1821="","-",+C1846+1)</f>
        <v>2036</v>
      </c>
      <c r="D1847" s="673">
        <f t="shared" si="174"/>
        <v>134758.13511363661</v>
      </c>
      <c r="E1847" s="726">
        <f t="shared" si="175"/>
        <v>5500.3320454545456</v>
      </c>
      <c r="F1847" s="726">
        <f t="shared" si="168"/>
        <v>129257.80306818207</v>
      </c>
      <c r="G1847" s="673">
        <f t="shared" si="169"/>
        <v>132007.96909090935</v>
      </c>
      <c r="H1847" s="721">
        <f>+J1822*G1847+E1847</f>
        <v>25752.00967330423</v>
      </c>
      <c r="I1847" s="727">
        <f>+J1823*G1847+E1847</f>
        <v>25752.00967330423</v>
      </c>
      <c r="J1847" s="724">
        <f t="shared" si="170"/>
        <v>0</v>
      </c>
      <c r="K1847" s="724"/>
      <c r="L1847" s="728"/>
      <c r="M1847" s="724">
        <f t="shared" si="171"/>
        <v>0</v>
      </c>
      <c r="N1847" s="728"/>
      <c r="O1847" s="724">
        <f t="shared" si="172"/>
        <v>0</v>
      </c>
      <c r="P1847" s="724">
        <f t="shared" si="173"/>
        <v>0</v>
      </c>
      <c r="Q1847" s="674"/>
    </row>
    <row r="1848" spans="2:17">
      <c r="B1848" s="330"/>
      <c r="C1848" s="720">
        <f>IF(D1821="","-",+C1847+1)</f>
        <v>2037</v>
      </c>
      <c r="D1848" s="673">
        <f t="shared" si="174"/>
        <v>129257.80306818207</v>
      </c>
      <c r="E1848" s="726">
        <f t="shared" si="175"/>
        <v>5500.3320454545456</v>
      </c>
      <c r="F1848" s="726">
        <f t="shared" si="168"/>
        <v>123757.47102272752</v>
      </c>
      <c r="G1848" s="673">
        <f t="shared" si="169"/>
        <v>126507.63704545479</v>
      </c>
      <c r="H1848" s="721">
        <f>+J1822*G1848+E1848</f>
        <v>24908.189772143825</v>
      </c>
      <c r="I1848" s="727">
        <f>+J1823*G1848+E1848</f>
        <v>24908.189772143825</v>
      </c>
      <c r="J1848" s="724">
        <f t="shared" si="170"/>
        <v>0</v>
      </c>
      <c r="K1848" s="724"/>
      <c r="L1848" s="728"/>
      <c r="M1848" s="724">
        <f t="shared" si="171"/>
        <v>0</v>
      </c>
      <c r="N1848" s="728"/>
      <c r="O1848" s="724">
        <f t="shared" si="172"/>
        <v>0</v>
      </c>
      <c r="P1848" s="724">
        <f t="shared" si="173"/>
        <v>0</v>
      </c>
      <c r="Q1848" s="674"/>
    </row>
    <row r="1849" spans="2:17">
      <c r="B1849" s="330"/>
      <c r="C1849" s="720">
        <f>IF(D1821="","-",+C1848+1)</f>
        <v>2038</v>
      </c>
      <c r="D1849" s="673">
        <f t="shared" si="174"/>
        <v>123757.47102272752</v>
      </c>
      <c r="E1849" s="726">
        <f t="shared" si="175"/>
        <v>5500.3320454545456</v>
      </c>
      <c r="F1849" s="726">
        <f t="shared" si="168"/>
        <v>118257.13897727297</v>
      </c>
      <c r="G1849" s="673">
        <f t="shared" si="169"/>
        <v>121007.30500000025</v>
      </c>
      <c r="H1849" s="721">
        <f>+J1822*G1849+E1849</f>
        <v>24064.369870983424</v>
      </c>
      <c r="I1849" s="727">
        <f>+J1823*G1849+E1849</f>
        <v>24064.369870983424</v>
      </c>
      <c r="J1849" s="724">
        <f t="shared" si="170"/>
        <v>0</v>
      </c>
      <c r="K1849" s="724"/>
      <c r="L1849" s="728"/>
      <c r="M1849" s="724">
        <f t="shared" si="171"/>
        <v>0</v>
      </c>
      <c r="N1849" s="728"/>
      <c r="O1849" s="724">
        <f t="shared" si="172"/>
        <v>0</v>
      </c>
      <c r="P1849" s="724">
        <f t="shared" si="173"/>
        <v>0</v>
      </c>
      <c r="Q1849" s="674"/>
    </row>
    <row r="1850" spans="2:17">
      <c r="B1850" s="330"/>
      <c r="C1850" s="720">
        <f>IF(D1821="","-",+C1849+1)</f>
        <v>2039</v>
      </c>
      <c r="D1850" s="673">
        <f t="shared" si="174"/>
        <v>118257.13897727297</v>
      </c>
      <c r="E1850" s="726">
        <f t="shared" si="175"/>
        <v>5500.3320454545456</v>
      </c>
      <c r="F1850" s="726">
        <f t="shared" si="168"/>
        <v>112756.80693181843</v>
      </c>
      <c r="G1850" s="673">
        <f t="shared" si="169"/>
        <v>115506.97295454569</v>
      </c>
      <c r="H1850" s="721">
        <f>+J1822*G1850+E1850</f>
        <v>23220.54996982302</v>
      </c>
      <c r="I1850" s="727">
        <f>+J1823*G1850+E1850</f>
        <v>23220.54996982302</v>
      </c>
      <c r="J1850" s="724">
        <f t="shared" si="170"/>
        <v>0</v>
      </c>
      <c r="K1850" s="724"/>
      <c r="L1850" s="728"/>
      <c r="M1850" s="724">
        <f t="shared" si="171"/>
        <v>0</v>
      </c>
      <c r="N1850" s="728"/>
      <c r="O1850" s="724">
        <f t="shared" si="172"/>
        <v>0</v>
      </c>
      <c r="P1850" s="724">
        <f t="shared" si="173"/>
        <v>0</v>
      </c>
      <c r="Q1850" s="674"/>
    </row>
    <row r="1851" spans="2:17">
      <c r="B1851" s="330"/>
      <c r="C1851" s="720">
        <f>IF(D1821="","-",+C1850+1)</f>
        <v>2040</v>
      </c>
      <c r="D1851" s="673">
        <f t="shared" si="174"/>
        <v>112756.80693181843</v>
      </c>
      <c r="E1851" s="726">
        <f t="shared" si="175"/>
        <v>5500.3320454545456</v>
      </c>
      <c r="F1851" s="726">
        <f t="shared" si="168"/>
        <v>107256.47488636388</v>
      </c>
      <c r="G1851" s="673">
        <f t="shared" si="169"/>
        <v>110006.64090909116</v>
      </c>
      <c r="H1851" s="721">
        <f>+J1822*G1851+E1851</f>
        <v>22376.730068662622</v>
      </c>
      <c r="I1851" s="727">
        <f>+J1823*G1851+E1851</f>
        <v>22376.730068662622</v>
      </c>
      <c r="J1851" s="724">
        <f t="shared" si="170"/>
        <v>0</v>
      </c>
      <c r="K1851" s="724"/>
      <c r="L1851" s="728"/>
      <c r="M1851" s="724">
        <f t="shared" si="171"/>
        <v>0</v>
      </c>
      <c r="N1851" s="728"/>
      <c r="O1851" s="724">
        <f t="shared" si="172"/>
        <v>0</v>
      </c>
      <c r="P1851" s="724">
        <f t="shared" si="173"/>
        <v>0</v>
      </c>
      <c r="Q1851" s="674"/>
    </row>
    <row r="1852" spans="2:17">
      <c r="B1852" s="330"/>
      <c r="C1852" s="720">
        <f>IF(D1821="","-",+C1851+1)</f>
        <v>2041</v>
      </c>
      <c r="D1852" s="673">
        <f t="shared" si="174"/>
        <v>107256.47488636388</v>
      </c>
      <c r="E1852" s="726">
        <f t="shared" si="175"/>
        <v>5500.3320454545456</v>
      </c>
      <c r="F1852" s="726">
        <f t="shared" si="168"/>
        <v>101756.14284090934</v>
      </c>
      <c r="G1852" s="673">
        <f t="shared" si="169"/>
        <v>104506.3088636366</v>
      </c>
      <c r="H1852" s="721">
        <f>+J1822*G1852+E1852</f>
        <v>21532.910167502218</v>
      </c>
      <c r="I1852" s="727">
        <f>+J1823*G1852+E1852</f>
        <v>21532.910167502218</v>
      </c>
      <c r="J1852" s="724">
        <f t="shared" si="170"/>
        <v>0</v>
      </c>
      <c r="K1852" s="724"/>
      <c r="L1852" s="728"/>
      <c r="M1852" s="724">
        <f t="shared" si="171"/>
        <v>0</v>
      </c>
      <c r="N1852" s="728"/>
      <c r="O1852" s="724">
        <f t="shared" si="172"/>
        <v>0</v>
      </c>
      <c r="P1852" s="724">
        <f t="shared" si="173"/>
        <v>0</v>
      </c>
      <c r="Q1852" s="674"/>
    </row>
    <row r="1853" spans="2:17">
      <c r="B1853" s="330"/>
      <c r="C1853" s="720">
        <f>IF(D1821="","-",+C1852+1)</f>
        <v>2042</v>
      </c>
      <c r="D1853" s="673">
        <f t="shared" si="174"/>
        <v>101756.14284090934</v>
      </c>
      <c r="E1853" s="726">
        <f t="shared" si="175"/>
        <v>5500.3320454545456</v>
      </c>
      <c r="F1853" s="726">
        <f t="shared" si="168"/>
        <v>96255.810795454789</v>
      </c>
      <c r="G1853" s="673">
        <f t="shared" si="169"/>
        <v>99005.976818182069</v>
      </c>
      <c r="H1853" s="721">
        <f>+J1822*G1853+E1853</f>
        <v>20689.090266341816</v>
      </c>
      <c r="I1853" s="727">
        <f>+J1823*G1853+E1853</f>
        <v>20689.090266341816</v>
      </c>
      <c r="J1853" s="724">
        <f t="shared" si="170"/>
        <v>0</v>
      </c>
      <c r="K1853" s="724"/>
      <c r="L1853" s="728"/>
      <c r="M1853" s="724">
        <f t="shared" si="171"/>
        <v>0</v>
      </c>
      <c r="N1853" s="728"/>
      <c r="O1853" s="724">
        <f t="shared" si="172"/>
        <v>0</v>
      </c>
      <c r="P1853" s="724">
        <f t="shared" si="173"/>
        <v>0</v>
      </c>
      <c r="Q1853" s="674"/>
    </row>
    <row r="1854" spans="2:17">
      <c r="B1854" s="330"/>
      <c r="C1854" s="720">
        <f>IF(D1821="","-",+C1853+1)</f>
        <v>2043</v>
      </c>
      <c r="D1854" s="673">
        <f t="shared" si="174"/>
        <v>96255.810795454789</v>
      </c>
      <c r="E1854" s="726">
        <f t="shared" si="175"/>
        <v>5500.3320454545456</v>
      </c>
      <c r="F1854" s="726">
        <f t="shared" si="168"/>
        <v>90755.478750000242</v>
      </c>
      <c r="G1854" s="673">
        <f t="shared" si="169"/>
        <v>93505.644772727508</v>
      </c>
      <c r="H1854" s="721">
        <f>+J1822*G1854+E1854</f>
        <v>19845.270365181412</v>
      </c>
      <c r="I1854" s="727">
        <f>+J1823*G1854+E1854</f>
        <v>19845.270365181412</v>
      </c>
      <c r="J1854" s="724">
        <f t="shared" si="170"/>
        <v>0</v>
      </c>
      <c r="K1854" s="724"/>
      <c r="L1854" s="728"/>
      <c r="M1854" s="724">
        <f t="shared" si="171"/>
        <v>0</v>
      </c>
      <c r="N1854" s="728"/>
      <c r="O1854" s="724">
        <f t="shared" si="172"/>
        <v>0</v>
      </c>
      <c r="P1854" s="724">
        <f t="shared" si="173"/>
        <v>0</v>
      </c>
      <c r="Q1854" s="674"/>
    </row>
    <row r="1855" spans="2:17">
      <c r="B1855" s="330"/>
      <c r="C1855" s="720">
        <f>IF(D1821="","-",+C1854+1)</f>
        <v>2044</v>
      </c>
      <c r="D1855" s="673">
        <f t="shared" si="174"/>
        <v>90755.478750000242</v>
      </c>
      <c r="E1855" s="726">
        <f t="shared" si="175"/>
        <v>5500.3320454545456</v>
      </c>
      <c r="F1855" s="726">
        <f t="shared" si="168"/>
        <v>85255.146704545696</v>
      </c>
      <c r="G1855" s="673">
        <f t="shared" si="169"/>
        <v>88005.312727272976</v>
      </c>
      <c r="H1855" s="721">
        <f>+J1822*G1855+E1855</f>
        <v>19001.450464021014</v>
      </c>
      <c r="I1855" s="727">
        <f>+J1823*G1855+E1855</f>
        <v>19001.450464021014</v>
      </c>
      <c r="J1855" s="724">
        <f t="shared" si="170"/>
        <v>0</v>
      </c>
      <c r="K1855" s="724"/>
      <c r="L1855" s="728"/>
      <c r="M1855" s="724">
        <f t="shared" si="171"/>
        <v>0</v>
      </c>
      <c r="N1855" s="728"/>
      <c r="O1855" s="724">
        <f t="shared" si="172"/>
        <v>0</v>
      </c>
      <c r="P1855" s="724">
        <f t="shared" si="173"/>
        <v>0</v>
      </c>
      <c r="Q1855" s="674"/>
    </row>
    <row r="1856" spans="2:17">
      <c r="B1856" s="330"/>
      <c r="C1856" s="720">
        <f>IF(D1821="","-",+C1855+1)</f>
        <v>2045</v>
      </c>
      <c r="D1856" s="673">
        <f t="shared" si="174"/>
        <v>85255.146704545696</v>
      </c>
      <c r="E1856" s="726">
        <f t="shared" si="175"/>
        <v>5500.3320454545456</v>
      </c>
      <c r="F1856" s="726">
        <f t="shared" si="168"/>
        <v>79754.814659091149</v>
      </c>
      <c r="G1856" s="673">
        <f t="shared" si="169"/>
        <v>82504.980681818415</v>
      </c>
      <c r="H1856" s="721">
        <f>+J1822*G1856+E1856</f>
        <v>18157.63056286061</v>
      </c>
      <c r="I1856" s="727">
        <f>+J1823*G1856+E1856</f>
        <v>18157.63056286061</v>
      </c>
      <c r="J1856" s="724">
        <f t="shared" si="170"/>
        <v>0</v>
      </c>
      <c r="K1856" s="724"/>
      <c r="L1856" s="728"/>
      <c r="M1856" s="724">
        <f t="shared" si="171"/>
        <v>0</v>
      </c>
      <c r="N1856" s="728"/>
      <c r="O1856" s="724">
        <f t="shared" si="172"/>
        <v>0</v>
      </c>
      <c r="P1856" s="724">
        <f t="shared" si="173"/>
        <v>0</v>
      </c>
      <c r="Q1856" s="674"/>
    </row>
    <row r="1857" spans="2:17">
      <c r="B1857" s="330"/>
      <c r="C1857" s="720">
        <f>IF(D1821="","-",+C1856+1)</f>
        <v>2046</v>
      </c>
      <c r="D1857" s="673">
        <f t="shared" si="174"/>
        <v>79754.814659091149</v>
      </c>
      <c r="E1857" s="726">
        <f t="shared" si="175"/>
        <v>5500.3320454545456</v>
      </c>
      <c r="F1857" s="726">
        <f t="shared" si="168"/>
        <v>74254.482613636603</v>
      </c>
      <c r="G1857" s="673">
        <f t="shared" si="169"/>
        <v>77004.648636363883</v>
      </c>
      <c r="H1857" s="721">
        <f>+J1822*G1857+E1857</f>
        <v>17313.810661700209</v>
      </c>
      <c r="I1857" s="727">
        <f>+J1823*G1857+E1857</f>
        <v>17313.810661700209</v>
      </c>
      <c r="J1857" s="724">
        <f t="shared" si="170"/>
        <v>0</v>
      </c>
      <c r="K1857" s="724"/>
      <c r="L1857" s="728"/>
      <c r="M1857" s="724">
        <f t="shared" si="171"/>
        <v>0</v>
      </c>
      <c r="N1857" s="728"/>
      <c r="O1857" s="724">
        <f t="shared" si="172"/>
        <v>0</v>
      </c>
      <c r="P1857" s="724">
        <f t="shared" si="173"/>
        <v>0</v>
      </c>
      <c r="Q1857" s="674"/>
    </row>
    <row r="1858" spans="2:17">
      <c r="B1858" s="330"/>
      <c r="C1858" s="720">
        <f>IF(D1821="","-",+C1857+1)</f>
        <v>2047</v>
      </c>
      <c r="D1858" s="673">
        <f t="shared" si="174"/>
        <v>74254.482613636603</v>
      </c>
      <c r="E1858" s="726">
        <f t="shared" si="175"/>
        <v>5500.3320454545456</v>
      </c>
      <c r="F1858" s="726">
        <f t="shared" si="168"/>
        <v>68754.150568182056</v>
      </c>
      <c r="G1858" s="673">
        <f t="shared" si="169"/>
        <v>71504.316590909322</v>
      </c>
      <c r="H1858" s="721">
        <f>+J1822*G1858+E1858</f>
        <v>16469.990760539804</v>
      </c>
      <c r="I1858" s="727">
        <f>+J1823*G1858+E1858</f>
        <v>16469.990760539804</v>
      </c>
      <c r="J1858" s="724">
        <f t="shared" si="170"/>
        <v>0</v>
      </c>
      <c r="K1858" s="724"/>
      <c r="L1858" s="728"/>
      <c r="M1858" s="724">
        <f t="shared" si="171"/>
        <v>0</v>
      </c>
      <c r="N1858" s="728"/>
      <c r="O1858" s="724">
        <f t="shared" si="172"/>
        <v>0</v>
      </c>
      <c r="P1858" s="724">
        <f t="shared" si="173"/>
        <v>0</v>
      </c>
      <c r="Q1858" s="674"/>
    </row>
    <row r="1859" spans="2:17">
      <c r="B1859" s="330"/>
      <c r="C1859" s="720">
        <f>IF(D1821="","-",+C1858+1)</f>
        <v>2048</v>
      </c>
      <c r="D1859" s="673">
        <f t="shared" si="174"/>
        <v>68754.150568182056</v>
      </c>
      <c r="E1859" s="726">
        <f t="shared" si="175"/>
        <v>5500.3320454545456</v>
      </c>
      <c r="F1859" s="726">
        <f t="shared" si="168"/>
        <v>63253.81852272751</v>
      </c>
      <c r="G1859" s="673">
        <f t="shared" ref="G1859:G1886" si="176">+(D1859+F1859)/2</f>
        <v>66003.98454545479</v>
      </c>
      <c r="H1859" s="721">
        <f>+J1822*G1859+E1859</f>
        <v>15626.170859379406</v>
      </c>
      <c r="I1859" s="727">
        <f>+J1823*G1859+E1859</f>
        <v>15626.170859379406</v>
      </c>
      <c r="J1859" s="724">
        <f t="shared" ref="J1859:J1886" si="177">+I1859-H1859</f>
        <v>0</v>
      </c>
      <c r="K1859" s="724"/>
      <c r="L1859" s="728"/>
      <c r="M1859" s="724">
        <f t="shared" ref="M1859:M1886" si="178">IF(L1859&lt;&gt;0,+H1859-L1859,0)</f>
        <v>0</v>
      </c>
      <c r="N1859" s="728"/>
      <c r="O1859" s="724">
        <f t="shared" ref="O1859:O1886" si="179">IF(N1859&lt;&gt;0,+I1859-N1859,0)</f>
        <v>0</v>
      </c>
      <c r="P1859" s="724">
        <f t="shared" si="173"/>
        <v>0</v>
      </c>
      <c r="Q1859" s="674"/>
    </row>
    <row r="1860" spans="2:17">
      <c r="B1860" s="330"/>
      <c r="C1860" s="720">
        <f>IF(D1821="","-",+C1859+1)</f>
        <v>2049</v>
      </c>
      <c r="D1860" s="673">
        <f t="shared" si="174"/>
        <v>63253.81852272751</v>
      </c>
      <c r="E1860" s="726">
        <f t="shared" si="175"/>
        <v>5500.3320454545456</v>
      </c>
      <c r="F1860" s="726">
        <f t="shared" si="168"/>
        <v>57753.486477272963</v>
      </c>
      <c r="G1860" s="673">
        <f t="shared" si="176"/>
        <v>60503.652500000237</v>
      </c>
      <c r="H1860" s="721">
        <f>+J1822*G1860+E1860</f>
        <v>14782.350958219002</v>
      </c>
      <c r="I1860" s="727">
        <f>+J1823*G1860+E1860</f>
        <v>14782.350958219002</v>
      </c>
      <c r="J1860" s="724">
        <f t="shared" si="177"/>
        <v>0</v>
      </c>
      <c r="K1860" s="724"/>
      <c r="L1860" s="728"/>
      <c r="M1860" s="724">
        <f t="shared" si="178"/>
        <v>0</v>
      </c>
      <c r="N1860" s="728"/>
      <c r="O1860" s="724">
        <f t="shared" si="179"/>
        <v>0</v>
      </c>
      <c r="P1860" s="724">
        <f t="shared" si="173"/>
        <v>0</v>
      </c>
      <c r="Q1860" s="674"/>
    </row>
    <row r="1861" spans="2:17">
      <c r="B1861" s="330"/>
      <c r="C1861" s="720">
        <f>IF(D1821="","-",+C1860+1)</f>
        <v>2050</v>
      </c>
      <c r="D1861" s="673">
        <f t="shared" si="174"/>
        <v>57753.486477272963</v>
      </c>
      <c r="E1861" s="726">
        <f t="shared" si="175"/>
        <v>5500.3320454545456</v>
      </c>
      <c r="F1861" s="726">
        <f t="shared" si="168"/>
        <v>52253.154431818417</v>
      </c>
      <c r="G1861" s="673">
        <f t="shared" si="176"/>
        <v>55003.32045454569</v>
      </c>
      <c r="H1861" s="721">
        <f>+J1822*G1861+E1861</f>
        <v>13938.531057058601</v>
      </c>
      <c r="I1861" s="727">
        <f>+J1823*G1861+E1861</f>
        <v>13938.531057058601</v>
      </c>
      <c r="J1861" s="724">
        <f t="shared" si="177"/>
        <v>0</v>
      </c>
      <c r="K1861" s="724"/>
      <c r="L1861" s="728"/>
      <c r="M1861" s="724">
        <f t="shared" si="178"/>
        <v>0</v>
      </c>
      <c r="N1861" s="728"/>
      <c r="O1861" s="724">
        <f t="shared" si="179"/>
        <v>0</v>
      </c>
      <c r="P1861" s="724">
        <f t="shared" si="173"/>
        <v>0</v>
      </c>
      <c r="Q1861" s="674"/>
    </row>
    <row r="1862" spans="2:17">
      <c r="B1862" s="330"/>
      <c r="C1862" s="720">
        <f>IF(D1821="","-",+C1861+1)</f>
        <v>2051</v>
      </c>
      <c r="D1862" s="673">
        <f t="shared" si="174"/>
        <v>52253.154431818417</v>
      </c>
      <c r="E1862" s="726">
        <f t="shared" si="175"/>
        <v>5500.3320454545456</v>
      </c>
      <c r="F1862" s="726">
        <f t="shared" si="168"/>
        <v>46752.82238636387</v>
      </c>
      <c r="G1862" s="673">
        <f t="shared" si="176"/>
        <v>49502.988409091144</v>
      </c>
      <c r="H1862" s="721">
        <f>+J1822*G1862+E1862</f>
        <v>13094.711155898198</v>
      </c>
      <c r="I1862" s="727">
        <f>+J1823*G1862+E1862</f>
        <v>13094.711155898198</v>
      </c>
      <c r="J1862" s="724">
        <f t="shared" si="177"/>
        <v>0</v>
      </c>
      <c r="K1862" s="724"/>
      <c r="L1862" s="728"/>
      <c r="M1862" s="724">
        <f t="shared" si="178"/>
        <v>0</v>
      </c>
      <c r="N1862" s="728"/>
      <c r="O1862" s="724">
        <f t="shared" si="179"/>
        <v>0</v>
      </c>
      <c r="P1862" s="724">
        <f t="shared" si="173"/>
        <v>0</v>
      </c>
      <c r="Q1862" s="674"/>
    </row>
    <row r="1863" spans="2:17">
      <c r="B1863" s="330"/>
      <c r="C1863" s="720">
        <f>IF(D1821="","-",+C1862+1)</f>
        <v>2052</v>
      </c>
      <c r="D1863" s="673">
        <f t="shared" si="174"/>
        <v>46752.82238636387</v>
      </c>
      <c r="E1863" s="726">
        <f t="shared" si="175"/>
        <v>5500.3320454545456</v>
      </c>
      <c r="F1863" s="726">
        <f t="shared" si="168"/>
        <v>41252.490340909324</v>
      </c>
      <c r="G1863" s="673">
        <f t="shared" si="176"/>
        <v>44002.656363636597</v>
      </c>
      <c r="H1863" s="721">
        <f>+J1822*G1863+E1863</f>
        <v>12250.891254737795</v>
      </c>
      <c r="I1863" s="727">
        <f>+J1823*G1863+E1863</f>
        <v>12250.891254737795</v>
      </c>
      <c r="J1863" s="724">
        <f t="shared" si="177"/>
        <v>0</v>
      </c>
      <c r="K1863" s="724"/>
      <c r="L1863" s="728"/>
      <c r="M1863" s="724">
        <f t="shared" si="178"/>
        <v>0</v>
      </c>
      <c r="N1863" s="728"/>
      <c r="O1863" s="724">
        <f t="shared" si="179"/>
        <v>0</v>
      </c>
      <c r="P1863" s="724">
        <f t="shared" si="173"/>
        <v>0</v>
      </c>
      <c r="Q1863" s="674"/>
    </row>
    <row r="1864" spans="2:17">
      <c r="B1864" s="330"/>
      <c r="C1864" s="720">
        <f>IF(D1821="","-",+C1863+1)</f>
        <v>2053</v>
      </c>
      <c r="D1864" s="673">
        <f t="shared" si="174"/>
        <v>41252.490340909324</v>
      </c>
      <c r="E1864" s="726">
        <f t="shared" si="175"/>
        <v>5500.3320454545456</v>
      </c>
      <c r="F1864" s="726">
        <f t="shared" si="168"/>
        <v>35752.158295454778</v>
      </c>
      <c r="G1864" s="673">
        <f t="shared" si="176"/>
        <v>38502.324318182051</v>
      </c>
      <c r="H1864" s="721">
        <f>+J1822*G1864+E1864</f>
        <v>11407.071353577394</v>
      </c>
      <c r="I1864" s="727">
        <f>+J1823*G1864+E1864</f>
        <v>11407.071353577394</v>
      </c>
      <c r="J1864" s="724">
        <f t="shared" si="177"/>
        <v>0</v>
      </c>
      <c r="K1864" s="724"/>
      <c r="L1864" s="728"/>
      <c r="M1864" s="724">
        <f t="shared" si="178"/>
        <v>0</v>
      </c>
      <c r="N1864" s="728"/>
      <c r="O1864" s="724">
        <f t="shared" si="179"/>
        <v>0</v>
      </c>
      <c r="P1864" s="724">
        <f t="shared" si="173"/>
        <v>0</v>
      </c>
      <c r="Q1864" s="674"/>
    </row>
    <row r="1865" spans="2:17">
      <c r="B1865" s="330"/>
      <c r="C1865" s="720">
        <f>IF(D1821="","-",+C1864+1)</f>
        <v>2054</v>
      </c>
      <c r="D1865" s="673">
        <f t="shared" si="174"/>
        <v>35752.158295454778</v>
      </c>
      <c r="E1865" s="726">
        <f t="shared" si="175"/>
        <v>5500.3320454545456</v>
      </c>
      <c r="F1865" s="726">
        <f t="shared" si="168"/>
        <v>30251.826250000231</v>
      </c>
      <c r="G1865" s="673">
        <f t="shared" si="176"/>
        <v>33001.992272727504</v>
      </c>
      <c r="H1865" s="721">
        <f>+J1822*G1865+E1865</f>
        <v>10563.251452416993</v>
      </c>
      <c r="I1865" s="727">
        <f>+J1823*G1865+E1865</f>
        <v>10563.251452416993</v>
      </c>
      <c r="J1865" s="724">
        <f t="shared" si="177"/>
        <v>0</v>
      </c>
      <c r="K1865" s="724"/>
      <c r="L1865" s="728"/>
      <c r="M1865" s="724">
        <f t="shared" si="178"/>
        <v>0</v>
      </c>
      <c r="N1865" s="728"/>
      <c r="O1865" s="724">
        <f t="shared" si="179"/>
        <v>0</v>
      </c>
      <c r="P1865" s="724">
        <f t="shared" si="173"/>
        <v>0</v>
      </c>
      <c r="Q1865" s="674"/>
    </row>
    <row r="1866" spans="2:17">
      <c r="B1866" s="330"/>
      <c r="C1866" s="720">
        <f>IF(D1821="","-",+C1865+1)</f>
        <v>2055</v>
      </c>
      <c r="D1866" s="673">
        <f t="shared" si="174"/>
        <v>30251.826250000231</v>
      </c>
      <c r="E1866" s="726">
        <f t="shared" si="175"/>
        <v>5500.3320454545456</v>
      </c>
      <c r="F1866" s="726">
        <f t="shared" si="168"/>
        <v>24751.494204545685</v>
      </c>
      <c r="G1866" s="673">
        <f t="shared" si="176"/>
        <v>27501.660227272958</v>
      </c>
      <c r="H1866" s="721">
        <f>+J1822*G1866+E1866</f>
        <v>9719.43155125659</v>
      </c>
      <c r="I1866" s="727">
        <f>+J1823*G1866+E1866</f>
        <v>9719.43155125659</v>
      </c>
      <c r="J1866" s="724">
        <f t="shared" si="177"/>
        <v>0</v>
      </c>
      <c r="K1866" s="724"/>
      <c r="L1866" s="728"/>
      <c r="M1866" s="724">
        <f t="shared" si="178"/>
        <v>0</v>
      </c>
      <c r="N1866" s="728"/>
      <c r="O1866" s="724">
        <f t="shared" si="179"/>
        <v>0</v>
      </c>
      <c r="P1866" s="724">
        <f t="shared" si="173"/>
        <v>0</v>
      </c>
      <c r="Q1866" s="674"/>
    </row>
    <row r="1867" spans="2:17">
      <c r="B1867" s="330"/>
      <c r="C1867" s="720">
        <f>IF(D1821="","-",+C1866+1)</f>
        <v>2056</v>
      </c>
      <c r="D1867" s="673">
        <f t="shared" si="174"/>
        <v>24751.494204545685</v>
      </c>
      <c r="E1867" s="726">
        <f t="shared" si="175"/>
        <v>5500.3320454545456</v>
      </c>
      <c r="F1867" s="726">
        <f t="shared" si="168"/>
        <v>19251.162159091138</v>
      </c>
      <c r="G1867" s="673">
        <f t="shared" si="176"/>
        <v>22001.328181818411</v>
      </c>
      <c r="H1867" s="721">
        <f>+J1822*G1867+E1867</f>
        <v>8875.6116500961871</v>
      </c>
      <c r="I1867" s="727">
        <f>+J1823*G1867+E1867</f>
        <v>8875.6116500961871</v>
      </c>
      <c r="J1867" s="724">
        <f t="shared" si="177"/>
        <v>0</v>
      </c>
      <c r="K1867" s="724"/>
      <c r="L1867" s="728"/>
      <c r="M1867" s="724">
        <f t="shared" si="178"/>
        <v>0</v>
      </c>
      <c r="N1867" s="728"/>
      <c r="O1867" s="724">
        <f t="shared" si="179"/>
        <v>0</v>
      </c>
      <c r="P1867" s="724">
        <f t="shared" si="173"/>
        <v>0</v>
      </c>
      <c r="Q1867" s="674"/>
    </row>
    <row r="1868" spans="2:17">
      <c r="B1868" s="330"/>
      <c r="C1868" s="720">
        <f>IF(D1821="","-",+C1867+1)</f>
        <v>2057</v>
      </c>
      <c r="D1868" s="673">
        <f t="shared" si="174"/>
        <v>19251.162159091138</v>
      </c>
      <c r="E1868" s="726">
        <f t="shared" si="175"/>
        <v>5500.3320454545456</v>
      </c>
      <c r="F1868" s="726">
        <f t="shared" si="168"/>
        <v>13750.830113636592</v>
      </c>
      <c r="G1868" s="673">
        <f t="shared" si="176"/>
        <v>16500.996136363865</v>
      </c>
      <c r="H1868" s="721">
        <f>+J1822*G1868+E1868</f>
        <v>8031.791748935786</v>
      </c>
      <c r="I1868" s="727">
        <f>+J1823*G1868+E1868</f>
        <v>8031.791748935786</v>
      </c>
      <c r="J1868" s="724">
        <f t="shared" si="177"/>
        <v>0</v>
      </c>
      <c r="K1868" s="724"/>
      <c r="L1868" s="728"/>
      <c r="M1868" s="724">
        <f t="shared" si="178"/>
        <v>0</v>
      </c>
      <c r="N1868" s="728"/>
      <c r="O1868" s="724">
        <f t="shared" si="179"/>
        <v>0</v>
      </c>
      <c r="P1868" s="724">
        <f t="shared" si="173"/>
        <v>0</v>
      </c>
      <c r="Q1868" s="674"/>
    </row>
    <row r="1869" spans="2:17">
      <c r="B1869" s="330"/>
      <c r="C1869" s="720">
        <f>IF(D1821="","-",+C1868+1)</f>
        <v>2058</v>
      </c>
      <c r="D1869" s="673">
        <f t="shared" si="174"/>
        <v>13750.830113636592</v>
      </c>
      <c r="E1869" s="726">
        <f t="shared" si="175"/>
        <v>5500.3320454545456</v>
      </c>
      <c r="F1869" s="726">
        <f t="shared" si="168"/>
        <v>8250.4980681820452</v>
      </c>
      <c r="G1869" s="673">
        <f t="shared" si="176"/>
        <v>11000.664090909318</v>
      </c>
      <c r="H1869" s="721">
        <f>+J1822*G1869+E1869</f>
        <v>7187.971847775384</v>
      </c>
      <c r="I1869" s="727">
        <f>+J1823*G1869+E1869</f>
        <v>7187.971847775384</v>
      </c>
      <c r="J1869" s="724">
        <f t="shared" si="177"/>
        <v>0</v>
      </c>
      <c r="K1869" s="724"/>
      <c r="L1869" s="728"/>
      <c r="M1869" s="724">
        <f t="shared" si="178"/>
        <v>0</v>
      </c>
      <c r="N1869" s="728"/>
      <c r="O1869" s="724">
        <f t="shared" si="179"/>
        <v>0</v>
      </c>
      <c r="P1869" s="724">
        <f t="shared" si="173"/>
        <v>0</v>
      </c>
      <c r="Q1869" s="674"/>
    </row>
    <row r="1870" spans="2:17">
      <c r="B1870" s="330"/>
      <c r="C1870" s="720">
        <f>IF(D1821="","-",+C1869+1)</f>
        <v>2059</v>
      </c>
      <c r="D1870" s="673">
        <f t="shared" si="174"/>
        <v>8250.4980681820452</v>
      </c>
      <c r="E1870" s="726">
        <f t="shared" si="175"/>
        <v>5500.3320454545456</v>
      </c>
      <c r="F1870" s="726">
        <f t="shared" si="168"/>
        <v>2750.1660227274997</v>
      </c>
      <c r="G1870" s="673">
        <f t="shared" si="176"/>
        <v>5500.332045454772</v>
      </c>
      <c r="H1870" s="721">
        <f>+J1822*G1870+E1870</f>
        <v>6344.1519466149821</v>
      </c>
      <c r="I1870" s="727">
        <f>+J1823*G1870+E1870</f>
        <v>6344.1519466149821</v>
      </c>
      <c r="J1870" s="724">
        <f t="shared" si="177"/>
        <v>0</v>
      </c>
      <c r="K1870" s="724"/>
      <c r="L1870" s="728"/>
      <c r="M1870" s="724">
        <f t="shared" si="178"/>
        <v>0</v>
      </c>
      <c r="N1870" s="728"/>
      <c r="O1870" s="724">
        <f t="shared" si="179"/>
        <v>0</v>
      </c>
      <c r="P1870" s="724">
        <f t="shared" si="173"/>
        <v>0</v>
      </c>
      <c r="Q1870" s="674"/>
    </row>
    <row r="1871" spans="2:17">
      <c r="B1871" s="330"/>
      <c r="C1871" s="720">
        <f>IF(D1821="","-",+C1870+1)</f>
        <v>2060</v>
      </c>
      <c r="D1871" s="673">
        <f t="shared" si="174"/>
        <v>2750.1660227274997</v>
      </c>
      <c r="E1871" s="726">
        <f t="shared" si="175"/>
        <v>2750.1660227274997</v>
      </c>
      <c r="F1871" s="726">
        <f t="shared" si="168"/>
        <v>0</v>
      </c>
      <c r="G1871" s="673">
        <f t="shared" si="176"/>
        <v>1375.0830113637498</v>
      </c>
      <c r="H1871" s="721">
        <f>+J1822*G1871+E1871</f>
        <v>2961.1209980176177</v>
      </c>
      <c r="I1871" s="727">
        <f>+J1823*G1871+E1871</f>
        <v>2961.1209980176177</v>
      </c>
      <c r="J1871" s="724">
        <f t="shared" si="177"/>
        <v>0</v>
      </c>
      <c r="K1871" s="724"/>
      <c r="L1871" s="728"/>
      <c r="M1871" s="724">
        <f t="shared" si="178"/>
        <v>0</v>
      </c>
      <c r="N1871" s="728"/>
      <c r="O1871" s="724">
        <f t="shared" si="179"/>
        <v>0</v>
      </c>
      <c r="P1871" s="724">
        <f t="shared" si="173"/>
        <v>0</v>
      </c>
      <c r="Q1871" s="674"/>
    </row>
    <row r="1872" spans="2:17">
      <c r="B1872" s="330"/>
      <c r="C1872" s="720">
        <f>IF(D1821="","-",+C1871+1)</f>
        <v>2061</v>
      </c>
      <c r="D1872" s="673">
        <f t="shared" si="174"/>
        <v>0</v>
      </c>
      <c r="E1872" s="726">
        <f t="shared" si="175"/>
        <v>0</v>
      </c>
      <c r="F1872" s="726">
        <f t="shared" si="168"/>
        <v>0</v>
      </c>
      <c r="G1872" s="673">
        <f t="shared" si="176"/>
        <v>0</v>
      </c>
      <c r="H1872" s="721">
        <f>+J1822*G1872+E1872</f>
        <v>0</v>
      </c>
      <c r="I1872" s="727">
        <f>+J1823*G1872+E1872</f>
        <v>0</v>
      </c>
      <c r="J1872" s="724">
        <f t="shared" si="177"/>
        <v>0</v>
      </c>
      <c r="K1872" s="724"/>
      <c r="L1872" s="728"/>
      <c r="M1872" s="724">
        <f t="shared" si="178"/>
        <v>0</v>
      </c>
      <c r="N1872" s="728"/>
      <c r="O1872" s="724">
        <f t="shared" si="179"/>
        <v>0</v>
      </c>
      <c r="P1872" s="724">
        <f t="shared" si="173"/>
        <v>0</v>
      </c>
      <c r="Q1872" s="674"/>
    </row>
    <row r="1873" spans="2:17">
      <c r="B1873" s="330"/>
      <c r="C1873" s="720">
        <f>IF(D1821="","-",+C1872+1)</f>
        <v>2062</v>
      </c>
      <c r="D1873" s="673">
        <f t="shared" si="174"/>
        <v>0</v>
      </c>
      <c r="E1873" s="726">
        <f t="shared" si="175"/>
        <v>0</v>
      </c>
      <c r="F1873" s="726">
        <f t="shared" si="168"/>
        <v>0</v>
      </c>
      <c r="G1873" s="673">
        <f t="shared" si="176"/>
        <v>0</v>
      </c>
      <c r="H1873" s="721">
        <f>+J1822*G1873+E1873</f>
        <v>0</v>
      </c>
      <c r="I1873" s="727">
        <f>+J1823*G1873+E1873</f>
        <v>0</v>
      </c>
      <c r="J1873" s="724">
        <f t="shared" si="177"/>
        <v>0</v>
      </c>
      <c r="K1873" s="724"/>
      <c r="L1873" s="728"/>
      <c r="M1873" s="724">
        <f t="shared" si="178"/>
        <v>0</v>
      </c>
      <c r="N1873" s="728"/>
      <c r="O1873" s="724">
        <f t="shared" si="179"/>
        <v>0</v>
      </c>
      <c r="P1873" s="724">
        <f t="shared" si="173"/>
        <v>0</v>
      </c>
      <c r="Q1873" s="674"/>
    </row>
    <row r="1874" spans="2:17">
      <c r="B1874" s="330"/>
      <c r="C1874" s="720">
        <f>IF(D1821="","-",+C1873+1)</f>
        <v>2063</v>
      </c>
      <c r="D1874" s="673">
        <f t="shared" si="174"/>
        <v>0</v>
      </c>
      <c r="E1874" s="726">
        <f t="shared" si="175"/>
        <v>0</v>
      </c>
      <c r="F1874" s="726">
        <f t="shared" si="168"/>
        <v>0</v>
      </c>
      <c r="G1874" s="673">
        <f t="shared" si="176"/>
        <v>0</v>
      </c>
      <c r="H1874" s="721">
        <f>+J1822*G1874+E1874</f>
        <v>0</v>
      </c>
      <c r="I1874" s="727">
        <f>+J1823*G1874+E1874</f>
        <v>0</v>
      </c>
      <c r="J1874" s="724">
        <f t="shared" si="177"/>
        <v>0</v>
      </c>
      <c r="K1874" s="724"/>
      <c r="L1874" s="728"/>
      <c r="M1874" s="724">
        <f t="shared" si="178"/>
        <v>0</v>
      </c>
      <c r="N1874" s="728"/>
      <c r="O1874" s="724">
        <f t="shared" si="179"/>
        <v>0</v>
      </c>
      <c r="P1874" s="724">
        <f t="shared" si="173"/>
        <v>0</v>
      </c>
      <c r="Q1874" s="674"/>
    </row>
    <row r="1875" spans="2:17">
      <c r="B1875" s="330"/>
      <c r="C1875" s="720">
        <f>IF(D1821="","-",+C1874+1)</f>
        <v>2064</v>
      </c>
      <c r="D1875" s="673">
        <f t="shared" si="174"/>
        <v>0</v>
      </c>
      <c r="E1875" s="726">
        <f t="shared" si="175"/>
        <v>0</v>
      </c>
      <c r="F1875" s="726">
        <f t="shared" si="168"/>
        <v>0</v>
      </c>
      <c r="G1875" s="673">
        <f t="shared" si="176"/>
        <v>0</v>
      </c>
      <c r="H1875" s="721">
        <f>+J1822*G1875+E1875</f>
        <v>0</v>
      </c>
      <c r="I1875" s="727">
        <f>+J1823*G1875+E1875</f>
        <v>0</v>
      </c>
      <c r="J1875" s="724">
        <f t="shared" si="177"/>
        <v>0</v>
      </c>
      <c r="K1875" s="724"/>
      <c r="L1875" s="728"/>
      <c r="M1875" s="724">
        <f t="shared" si="178"/>
        <v>0</v>
      </c>
      <c r="N1875" s="728"/>
      <c r="O1875" s="724">
        <f t="shared" si="179"/>
        <v>0</v>
      </c>
      <c r="P1875" s="724">
        <f t="shared" si="173"/>
        <v>0</v>
      </c>
      <c r="Q1875" s="674"/>
    </row>
    <row r="1876" spans="2:17">
      <c r="B1876" s="330"/>
      <c r="C1876" s="720">
        <f>IF(D1821="","-",+C1875+1)</f>
        <v>2065</v>
      </c>
      <c r="D1876" s="673">
        <f t="shared" si="174"/>
        <v>0</v>
      </c>
      <c r="E1876" s="726">
        <f t="shared" si="175"/>
        <v>0</v>
      </c>
      <c r="F1876" s="726">
        <f t="shared" si="168"/>
        <v>0</v>
      </c>
      <c r="G1876" s="673">
        <f t="shared" si="176"/>
        <v>0</v>
      </c>
      <c r="H1876" s="721">
        <f>+J1822*G1876+E1876</f>
        <v>0</v>
      </c>
      <c r="I1876" s="727">
        <f>+J1823*G1876+E1876</f>
        <v>0</v>
      </c>
      <c r="J1876" s="724">
        <f t="shared" si="177"/>
        <v>0</v>
      </c>
      <c r="K1876" s="724"/>
      <c r="L1876" s="728"/>
      <c r="M1876" s="724">
        <f t="shared" si="178"/>
        <v>0</v>
      </c>
      <c r="N1876" s="728"/>
      <c r="O1876" s="724">
        <f t="shared" si="179"/>
        <v>0</v>
      </c>
      <c r="P1876" s="724">
        <f t="shared" si="173"/>
        <v>0</v>
      </c>
      <c r="Q1876" s="674"/>
    </row>
    <row r="1877" spans="2:17">
      <c r="B1877" s="330"/>
      <c r="C1877" s="720">
        <f>IF(D1821="","-",+C1876+1)</f>
        <v>2066</v>
      </c>
      <c r="D1877" s="673">
        <f t="shared" si="174"/>
        <v>0</v>
      </c>
      <c r="E1877" s="726">
        <f t="shared" si="175"/>
        <v>0</v>
      </c>
      <c r="F1877" s="726">
        <f t="shared" si="168"/>
        <v>0</v>
      </c>
      <c r="G1877" s="673">
        <f t="shared" si="176"/>
        <v>0</v>
      </c>
      <c r="H1877" s="721">
        <f>+J1822*G1877+E1877</f>
        <v>0</v>
      </c>
      <c r="I1877" s="727">
        <f>+J1823*G1877+E1877</f>
        <v>0</v>
      </c>
      <c r="J1877" s="724">
        <f t="shared" si="177"/>
        <v>0</v>
      </c>
      <c r="K1877" s="724"/>
      <c r="L1877" s="728"/>
      <c r="M1877" s="724">
        <f t="shared" si="178"/>
        <v>0</v>
      </c>
      <c r="N1877" s="728"/>
      <c r="O1877" s="724">
        <f t="shared" si="179"/>
        <v>0</v>
      </c>
      <c r="P1877" s="724">
        <f t="shared" si="173"/>
        <v>0</v>
      </c>
      <c r="Q1877" s="674"/>
    </row>
    <row r="1878" spans="2:17">
      <c r="B1878" s="330"/>
      <c r="C1878" s="720">
        <f>IF(D1821="","-",+C1877+1)</f>
        <v>2067</v>
      </c>
      <c r="D1878" s="673">
        <f t="shared" si="174"/>
        <v>0</v>
      </c>
      <c r="E1878" s="726">
        <f t="shared" si="175"/>
        <v>0</v>
      </c>
      <c r="F1878" s="726">
        <f t="shared" si="168"/>
        <v>0</v>
      </c>
      <c r="G1878" s="673">
        <f t="shared" si="176"/>
        <v>0</v>
      </c>
      <c r="H1878" s="721">
        <f>+J1822*G1878+E1878</f>
        <v>0</v>
      </c>
      <c r="I1878" s="727">
        <f>+J1823*G1878+E1878</f>
        <v>0</v>
      </c>
      <c r="J1878" s="724">
        <f t="shared" si="177"/>
        <v>0</v>
      </c>
      <c r="K1878" s="724"/>
      <c r="L1878" s="728"/>
      <c r="M1878" s="724">
        <f t="shared" si="178"/>
        <v>0</v>
      </c>
      <c r="N1878" s="728"/>
      <c r="O1878" s="724">
        <f t="shared" si="179"/>
        <v>0</v>
      </c>
      <c r="P1878" s="724">
        <f t="shared" si="173"/>
        <v>0</v>
      </c>
      <c r="Q1878" s="674"/>
    </row>
    <row r="1879" spans="2:17">
      <c r="B1879" s="330"/>
      <c r="C1879" s="720">
        <f>IF(D1821="","-",+C1878+1)</f>
        <v>2068</v>
      </c>
      <c r="D1879" s="673">
        <f t="shared" si="174"/>
        <v>0</v>
      </c>
      <c r="E1879" s="726">
        <f t="shared" si="175"/>
        <v>0</v>
      </c>
      <c r="F1879" s="726">
        <f t="shared" si="168"/>
        <v>0</v>
      </c>
      <c r="G1879" s="673">
        <f t="shared" si="176"/>
        <v>0</v>
      </c>
      <c r="H1879" s="721">
        <f>+J1822*G1879+E1879</f>
        <v>0</v>
      </c>
      <c r="I1879" s="727">
        <f>+J1823*G1879+E1879</f>
        <v>0</v>
      </c>
      <c r="J1879" s="724">
        <f t="shared" si="177"/>
        <v>0</v>
      </c>
      <c r="K1879" s="724"/>
      <c r="L1879" s="728"/>
      <c r="M1879" s="724">
        <f t="shared" si="178"/>
        <v>0</v>
      </c>
      <c r="N1879" s="728"/>
      <c r="O1879" s="724">
        <f t="shared" si="179"/>
        <v>0</v>
      </c>
      <c r="P1879" s="724">
        <f t="shared" si="173"/>
        <v>0</v>
      </c>
      <c r="Q1879" s="674"/>
    </row>
    <row r="1880" spans="2:17">
      <c r="B1880" s="330"/>
      <c r="C1880" s="720">
        <f>IF(D1821="","-",+C1879+1)</f>
        <v>2069</v>
      </c>
      <c r="D1880" s="673">
        <f t="shared" si="174"/>
        <v>0</v>
      </c>
      <c r="E1880" s="726">
        <f t="shared" si="175"/>
        <v>0</v>
      </c>
      <c r="F1880" s="726">
        <f t="shared" si="168"/>
        <v>0</v>
      </c>
      <c r="G1880" s="673">
        <f t="shared" si="176"/>
        <v>0</v>
      </c>
      <c r="H1880" s="721">
        <f>+J1822*G1880+E1880</f>
        <v>0</v>
      </c>
      <c r="I1880" s="727">
        <f>+J1823*G1880+E1880</f>
        <v>0</v>
      </c>
      <c r="J1880" s="724">
        <f t="shared" si="177"/>
        <v>0</v>
      </c>
      <c r="K1880" s="724"/>
      <c r="L1880" s="728"/>
      <c r="M1880" s="724">
        <f t="shared" si="178"/>
        <v>0</v>
      </c>
      <c r="N1880" s="728"/>
      <c r="O1880" s="724">
        <f t="shared" si="179"/>
        <v>0</v>
      </c>
      <c r="P1880" s="724">
        <f t="shared" si="173"/>
        <v>0</v>
      </c>
      <c r="Q1880" s="674"/>
    </row>
    <row r="1881" spans="2:17">
      <c r="B1881" s="330"/>
      <c r="C1881" s="720">
        <f>IF(D1821="","-",+C1880+1)</f>
        <v>2070</v>
      </c>
      <c r="D1881" s="673">
        <f t="shared" si="174"/>
        <v>0</v>
      </c>
      <c r="E1881" s="726">
        <f t="shared" si="175"/>
        <v>0</v>
      </c>
      <c r="F1881" s="726">
        <f t="shared" si="168"/>
        <v>0</v>
      </c>
      <c r="G1881" s="673">
        <f t="shared" si="176"/>
        <v>0</v>
      </c>
      <c r="H1881" s="721">
        <f>+J1822*G1881+E1881</f>
        <v>0</v>
      </c>
      <c r="I1881" s="727">
        <f>+J1823*G1881+E1881</f>
        <v>0</v>
      </c>
      <c r="J1881" s="724">
        <f t="shared" si="177"/>
        <v>0</v>
      </c>
      <c r="K1881" s="724"/>
      <c r="L1881" s="728"/>
      <c r="M1881" s="724">
        <f t="shared" si="178"/>
        <v>0</v>
      </c>
      <c r="N1881" s="728"/>
      <c r="O1881" s="724">
        <f t="shared" si="179"/>
        <v>0</v>
      </c>
      <c r="P1881" s="724">
        <f t="shared" si="173"/>
        <v>0</v>
      </c>
      <c r="Q1881" s="674"/>
    </row>
    <row r="1882" spans="2:17">
      <c r="B1882" s="330"/>
      <c r="C1882" s="720">
        <f>IF(D1821="","-",+C1881+1)</f>
        <v>2071</v>
      </c>
      <c r="D1882" s="673">
        <f t="shared" si="174"/>
        <v>0</v>
      </c>
      <c r="E1882" s="726">
        <f t="shared" si="175"/>
        <v>0</v>
      </c>
      <c r="F1882" s="726">
        <f t="shared" si="168"/>
        <v>0</v>
      </c>
      <c r="G1882" s="673">
        <f t="shared" si="176"/>
        <v>0</v>
      </c>
      <c r="H1882" s="721">
        <f>+J1822*G1882+E1882</f>
        <v>0</v>
      </c>
      <c r="I1882" s="727">
        <f>+J1823*G1882+E1882</f>
        <v>0</v>
      </c>
      <c r="J1882" s="724">
        <f t="shared" si="177"/>
        <v>0</v>
      </c>
      <c r="K1882" s="724"/>
      <c r="L1882" s="728"/>
      <c r="M1882" s="724">
        <f t="shared" si="178"/>
        <v>0</v>
      </c>
      <c r="N1882" s="728"/>
      <c r="O1882" s="724">
        <f t="shared" si="179"/>
        <v>0</v>
      </c>
      <c r="P1882" s="724">
        <f t="shared" si="173"/>
        <v>0</v>
      </c>
      <c r="Q1882" s="674"/>
    </row>
    <row r="1883" spans="2:17">
      <c r="B1883" s="330"/>
      <c r="C1883" s="720">
        <f>IF(D1821="","-",+C1882+1)</f>
        <v>2072</v>
      </c>
      <c r="D1883" s="673">
        <f t="shared" si="174"/>
        <v>0</v>
      </c>
      <c r="E1883" s="726">
        <f t="shared" si="175"/>
        <v>0</v>
      </c>
      <c r="F1883" s="726">
        <f t="shared" si="168"/>
        <v>0</v>
      </c>
      <c r="G1883" s="673">
        <f t="shared" si="176"/>
        <v>0</v>
      </c>
      <c r="H1883" s="721">
        <f>+J1822*G1883+E1883</f>
        <v>0</v>
      </c>
      <c r="I1883" s="727">
        <f>+J1823*G1883+E1883</f>
        <v>0</v>
      </c>
      <c r="J1883" s="724">
        <f t="shared" si="177"/>
        <v>0</v>
      </c>
      <c r="K1883" s="724"/>
      <c r="L1883" s="728"/>
      <c r="M1883" s="724">
        <f t="shared" si="178"/>
        <v>0</v>
      </c>
      <c r="N1883" s="728"/>
      <c r="O1883" s="724">
        <f t="shared" si="179"/>
        <v>0</v>
      </c>
      <c r="P1883" s="724">
        <f t="shared" si="173"/>
        <v>0</v>
      </c>
      <c r="Q1883" s="674"/>
    </row>
    <row r="1884" spans="2:17">
      <c r="B1884" s="330"/>
      <c r="C1884" s="720">
        <f>IF(D1821="","-",+C1883+1)</f>
        <v>2073</v>
      </c>
      <c r="D1884" s="673">
        <f t="shared" si="174"/>
        <v>0</v>
      </c>
      <c r="E1884" s="726">
        <f t="shared" si="175"/>
        <v>0</v>
      </c>
      <c r="F1884" s="726">
        <f t="shared" si="168"/>
        <v>0</v>
      </c>
      <c r="G1884" s="673">
        <f t="shared" si="176"/>
        <v>0</v>
      </c>
      <c r="H1884" s="721">
        <f>+J1822*G1884+E1884</f>
        <v>0</v>
      </c>
      <c r="I1884" s="727">
        <f>+J1823*G1884+E1884</f>
        <v>0</v>
      </c>
      <c r="J1884" s="724">
        <f t="shared" si="177"/>
        <v>0</v>
      </c>
      <c r="K1884" s="724"/>
      <c r="L1884" s="728"/>
      <c r="M1884" s="724">
        <f t="shared" si="178"/>
        <v>0</v>
      </c>
      <c r="N1884" s="728"/>
      <c r="O1884" s="724">
        <f t="shared" si="179"/>
        <v>0</v>
      </c>
      <c r="P1884" s="724">
        <f t="shared" si="173"/>
        <v>0</v>
      </c>
      <c r="Q1884" s="674"/>
    </row>
    <row r="1885" spans="2:17">
      <c r="B1885" s="330"/>
      <c r="C1885" s="720">
        <f>IF(D1821="","-",+C1884+1)</f>
        <v>2074</v>
      </c>
      <c r="D1885" s="673">
        <f t="shared" si="174"/>
        <v>0</v>
      </c>
      <c r="E1885" s="726">
        <f t="shared" si="175"/>
        <v>0</v>
      </c>
      <c r="F1885" s="726">
        <f t="shared" si="168"/>
        <v>0</v>
      </c>
      <c r="G1885" s="673">
        <f t="shared" si="176"/>
        <v>0</v>
      </c>
      <c r="H1885" s="721">
        <f>+J1822*G1885+E1885</f>
        <v>0</v>
      </c>
      <c r="I1885" s="727">
        <f>+J1823*G1885+E1885</f>
        <v>0</v>
      </c>
      <c r="J1885" s="724">
        <f t="shared" si="177"/>
        <v>0</v>
      </c>
      <c r="K1885" s="724"/>
      <c r="L1885" s="728"/>
      <c r="M1885" s="724">
        <f t="shared" si="178"/>
        <v>0</v>
      </c>
      <c r="N1885" s="728"/>
      <c r="O1885" s="724">
        <f t="shared" si="179"/>
        <v>0</v>
      </c>
      <c r="P1885" s="724">
        <f t="shared" si="173"/>
        <v>0</v>
      </c>
      <c r="Q1885" s="674"/>
    </row>
    <row r="1886" spans="2:17" ht="13.5" thickBot="1">
      <c r="B1886" s="330"/>
      <c r="C1886" s="730">
        <f>IF(D1821="","-",+C1885+1)</f>
        <v>2075</v>
      </c>
      <c r="D1886" s="731">
        <f t="shared" si="174"/>
        <v>0</v>
      </c>
      <c r="E1886" s="726">
        <f t="shared" si="175"/>
        <v>0</v>
      </c>
      <c r="F1886" s="732">
        <f t="shared" si="168"/>
        <v>0</v>
      </c>
      <c r="G1886" s="731">
        <f t="shared" si="176"/>
        <v>0</v>
      </c>
      <c r="H1886" s="733">
        <f>+J1822*G1886+E1886</f>
        <v>0</v>
      </c>
      <c r="I1886" s="733">
        <f>+J1823*G1886+E1886</f>
        <v>0</v>
      </c>
      <c r="J1886" s="734">
        <f t="shared" si="177"/>
        <v>0</v>
      </c>
      <c r="K1886" s="724"/>
      <c r="L1886" s="735"/>
      <c r="M1886" s="734">
        <f t="shared" si="178"/>
        <v>0</v>
      </c>
      <c r="N1886" s="735"/>
      <c r="O1886" s="734">
        <f t="shared" si="179"/>
        <v>0</v>
      </c>
      <c r="P1886" s="734">
        <f t="shared" si="173"/>
        <v>0</v>
      </c>
      <c r="Q1886" s="674"/>
    </row>
    <row r="1887" spans="2:17">
      <c r="B1887" s="330"/>
      <c r="C1887" s="673" t="s">
        <v>288</v>
      </c>
      <c r="D1887" s="669"/>
      <c r="E1887" s="669">
        <f>SUM(E1827:E1886)</f>
        <v>242014.61</v>
      </c>
      <c r="F1887" s="669"/>
      <c r="G1887" s="669"/>
      <c r="H1887" s="669">
        <f>SUM(H1827:H1886)</f>
        <v>1077396.3121487997</v>
      </c>
      <c r="I1887" s="669">
        <f>SUM(I1827:I1886)</f>
        <v>1077396.3121487997</v>
      </c>
      <c r="J1887" s="669">
        <f>SUM(J1827:J1886)</f>
        <v>0</v>
      </c>
      <c r="K1887" s="669"/>
      <c r="L1887" s="669"/>
      <c r="M1887" s="669"/>
      <c r="N1887" s="669"/>
      <c r="O1887" s="669"/>
      <c r="Q1887" s="669"/>
    </row>
    <row r="1888" spans="2:17">
      <c r="B1888" s="330"/>
      <c r="D1888" s="563"/>
      <c r="E1888" s="542"/>
      <c r="F1888" s="542"/>
      <c r="G1888" s="542"/>
      <c r="H1888" s="542"/>
      <c r="I1888" s="646"/>
      <c r="J1888" s="646"/>
      <c r="K1888" s="669"/>
      <c r="L1888" s="646"/>
      <c r="M1888" s="646"/>
      <c r="N1888" s="646"/>
      <c r="O1888" s="646"/>
      <c r="Q1888" s="669"/>
    </row>
    <row r="1889" spans="1:17">
      <c r="B1889" s="330"/>
      <c r="C1889" s="542" t="s">
        <v>595</v>
      </c>
      <c r="D1889" s="563"/>
      <c r="E1889" s="542"/>
      <c r="F1889" s="542"/>
      <c r="G1889" s="542"/>
      <c r="H1889" s="542"/>
      <c r="I1889" s="646"/>
      <c r="J1889" s="646"/>
      <c r="K1889" s="669"/>
      <c r="L1889" s="646"/>
      <c r="M1889" s="646"/>
      <c r="N1889" s="646"/>
      <c r="O1889" s="646"/>
      <c r="Q1889" s="669"/>
    </row>
    <row r="1890" spans="1:17">
      <c r="B1890" s="330"/>
      <c r="D1890" s="563"/>
      <c r="E1890" s="542"/>
      <c r="F1890" s="542"/>
      <c r="G1890" s="542"/>
      <c r="H1890" s="542"/>
      <c r="I1890" s="646"/>
      <c r="J1890" s="646"/>
      <c r="K1890" s="669"/>
      <c r="L1890" s="646"/>
      <c r="M1890" s="646"/>
      <c r="N1890" s="646"/>
      <c r="O1890" s="646"/>
      <c r="Q1890" s="669"/>
    </row>
    <row r="1891" spans="1:17">
      <c r="B1891" s="330"/>
      <c r="C1891" s="576" t="s">
        <v>596</v>
      </c>
      <c r="D1891" s="673"/>
      <c r="E1891" s="673"/>
      <c r="F1891" s="673"/>
      <c r="G1891" s="673"/>
      <c r="H1891" s="669"/>
      <c r="I1891" s="669"/>
      <c r="J1891" s="674"/>
      <c r="K1891" s="674"/>
      <c r="L1891" s="674"/>
      <c r="M1891" s="674"/>
      <c r="N1891" s="674"/>
      <c r="O1891" s="674"/>
      <c r="Q1891" s="674"/>
    </row>
    <row r="1892" spans="1:17">
      <c r="B1892" s="330"/>
      <c r="C1892" s="576" t="s">
        <v>476</v>
      </c>
      <c r="D1892" s="673"/>
      <c r="E1892" s="673"/>
      <c r="F1892" s="673"/>
      <c r="G1892" s="673"/>
      <c r="H1892" s="669"/>
      <c r="I1892" s="669"/>
      <c r="J1892" s="674"/>
      <c r="K1892" s="674"/>
      <c r="L1892" s="674"/>
      <c r="M1892" s="674"/>
      <c r="N1892" s="674"/>
      <c r="O1892" s="674"/>
      <c r="Q1892" s="674"/>
    </row>
    <row r="1893" spans="1:17">
      <c r="B1893" s="330"/>
      <c r="C1893" s="576" t="s">
        <v>289</v>
      </c>
      <c r="D1893" s="673"/>
      <c r="E1893" s="673"/>
      <c r="F1893" s="673"/>
      <c r="G1893" s="673"/>
      <c r="H1893" s="669"/>
      <c r="I1893" s="669"/>
      <c r="J1893" s="674"/>
      <c r="K1893" s="674"/>
      <c r="L1893" s="674"/>
      <c r="M1893" s="674"/>
      <c r="N1893" s="674"/>
      <c r="O1893" s="674"/>
      <c r="Q1893" s="674"/>
    </row>
    <row r="1894" spans="1:17" ht="20.25">
      <c r="A1894" s="675" t="s">
        <v>764</v>
      </c>
      <c r="B1894" s="542"/>
      <c r="C1894" s="655"/>
      <c r="D1894" s="563"/>
      <c r="E1894" s="542"/>
      <c r="F1894" s="645"/>
      <c r="G1894" s="645"/>
      <c r="H1894" s="542"/>
      <c r="I1894" s="646"/>
      <c r="L1894" s="676"/>
      <c r="M1894" s="676"/>
      <c r="N1894" s="676"/>
      <c r="O1894" s="591" t="str">
        <f>"Page "&amp;SUM(Q$3:Q1894)&amp;" of "</f>
        <v xml:space="preserve">Page 23 of </v>
      </c>
      <c r="P1894" s="592">
        <f>COUNT(Q$8:Q$58212)</f>
        <v>23</v>
      </c>
      <c r="Q1894" s="756">
        <v>1</v>
      </c>
    </row>
    <row r="1895" spans="1:17">
      <c r="B1895" s="542"/>
      <c r="C1895" s="542"/>
      <c r="D1895" s="563"/>
      <c r="E1895" s="542"/>
      <c r="F1895" s="542"/>
      <c r="G1895" s="542"/>
      <c r="H1895" s="542"/>
      <c r="I1895" s="646"/>
      <c r="J1895" s="542"/>
      <c r="K1895" s="588"/>
      <c r="Q1895" s="588"/>
    </row>
    <row r="1896" spans="1:17" ht="18">
      <c r="B1896" s="595" t="s">
        <v>174</v>
      </c>
      <c r="C1896" s="677" t="s">
        <v>290</v>
      </c>
      <c r="D1896" s="563"/>
      <c r="E1896" s="542"/>
      <c r="F1896" s="542"/>
      <c r="G1896" s="542"/>
      <c r="H1896" s="542"/>
      <c r="I1896" s="646"/>
      <c r="J1896" s="646"/>
      <c r="K1896" s="669"/>
      <c r="L1896" s="646"/>
      <c r="M1896" s="646"/>
      <c r="N1896" s="646"/>
      <c r="O1896" s="646"/>
      <c r="Q1896" s="669"/>
    </row>
    <row r="1897" spans="1:17" ht="18.75">
      <c r="B1897" s="595"/>
      <c r="C1897" s="594"/>
      <c r="D1897" s="563"/>
      <c r="E1897" s="542"/>
      <c r="F1897" s="542"/>
      <c r="G1897" s="542"/>
      <c r="H1897" s="542"/>
      <c r="I1897" s="646"/>
      <c r="J1897" s="646"/>
      <c r="K1897" s="669"/>
      <c r="L1897" s="646"/>
      <c r="M1897" s="646"/>
      <c r="N1897" s="646"/>
      <c r="O1897" s="646"/>
      <c r="Q1897" s="669"/>
    </row>
    <row r="1898" spans="1:17" ht="18.75">
      <c r="B1898" s="595"/>
      <c r="C1898" s="594" t="s">
        <v>291</v>
      </c>
      <c r="D1898" s="563"/>
      <c r="E1898" s="542"/>
      <c r="F1898" s="542"/>
      <c r="G1898" s="542"/>
      <c r="H1898" s="542"/>
      <c r="I1898" s="646"/>
      <c r="J1898" s="646"/>
      <c r="K1898" s="669"/>
      <c r="L1898" s="646"/>
      <c r="M1898" s="646"/>
      <c r="N1898" s="646"/>
      <c r="O1898" s="646"/>
      <c r="Q1898" s="669"/>
    </row>
    <row r="1899" spans="1:17" ht="15.75" thickBot="1">
      <c r="B1899" s="330"/>
      <c r="C1899" s="396"/>
      <c r="D1899" s="563"/>
      <c r="E1899" s="542"/>
      <c r="F1899" s="542"/>
      <c r="G1899" s="542"/>
      <c r="H1899" s="542"/>
      <c r="I1899" s="646"/>
      <c r="J1899" s="646"/>
      <c r="K1899" s="669"/>
      <c r="L1899" s="646"/>
      <c r="M1899" s="646"/>
      <c r="N1899" s="646"/>
      <c r="O1899" s="646"/>
      <c r="Q1899" s="669"/>
    </row>
    <row r="1900" spans="1:17" ht="15.75">
      <c r="B1900" s="330"/>
      <c r="C1900" s="596" t="s">
        <v>292</v>
      </c>
      <c r="D1900" s="563"/>
      <c r="E1900" s="542"/>
      <c r="F1900" s="542"/>
      <c r="G1900" s="542"/>
      <c r="H1900" s="864"/>
      <c r="I1900" s="542" t="s">
        <v>271</v>
      </c>
      <c r="J1900" s="542"/>
      <c r="K1900" s="588"/>
      <c r="L1900" s="757">
        <f>+J1906</f>
        <v>2021</v>
      </c>
      <c r="M1900" s="739" t="s">
        <v>254</v>
      </c>
      <c r="N1900" s="739" t="s">
        <v>255</v>
      </c>
      <c r="O1900" s="740" t="s">
        <v>256</v>
      </c>
      <c r="Q1900" s="588"/>
    </row>
    <row r="1901" spans="1:17" ht="15.75">
      <c r="B1901" s="330"/>
      <c r="C1901" s="596"/>
      <c r="D1901" s="563"/>
      <c r="E1901" s="542"/>
      <c r="F1901" s="542"/>
      <c r="H1901" s="542"/>
      <c r="I1901" s="681"/>
      <c r="J1901" s="681"/>
      <c r="K1901" s="682"/>
      <c r="L1901" s="758" t="s">
        <v>455</v>
      </c>
      <c r="M1901" s="759">
        <f>VLOOKUP(J1906,C1913:P1972,10)</f>
        <v>1240.2240028428416</v>
      </c>
      <c r="N1901" s="759">
        <f>VLOOKUP(J1906,C1913:P1972,12)</f>
        <v>1240.2240028428416</v>
      </c>
      <c r="O1901" s="760">
        <f>+N1901-M1901</f>
        <v>0</v>
      </c>
      <c r="Q1901" s="682"/>
    </row>
    <row r="1902" spans="1:17">
      <c r="B1902" s="330"/>
      <c r="C1902" s="684" t="s">
        <v>293</v>
      </c>
      <c r="D1902" s="1290" t="s">
        <v>955</v>
      </c>
      <c r="E1902" s="1290"/>
      <c r="F1902" s="1290"/>
      <c r="G1902" s="1290"/>
      <c r="H1902" s="1290"/>
      <c r="I1902" s="688"/>
      <c r="J1902" s="646"/>
      <c r="K1902" s="669"/>
      <c r="L1902" s="758" t="s">
        <v>456</v>
      </c>
      <c r="M1902" s="761">
        <f>VLOOKUP(J1906,C1913:P1972,6)</f>
        <v>1313.4964895036292</v>
      </c>
      <c r="N1902" s="761">
        <f>VLOOKUP(J1906,C1913:P1972,7)</f>
        <v>1313.4964895036292</v>
      </c>
      <c r="O1902" s="762">
        <f>+N1902-M1902</f>
        <v>0</v>
      </c>
      <c r="Q1902" s="669"/>
    </row>
    <row r="1903" spans="1:17" ht="13.5" thickBot="1">
      <c r="B1903" s="330"/>
      <c r="C1903" s="686"/>
      <c r="D1903" s="690" t="s">
        <v>114</v>
      </c>
      <c r="E1903" s="688"/>
      <c r="F1903" s="688"/>
      <c r="G1903" s="688"/>
      <c r="H1903" s="688"/>
      <c r="I1903" s="688"/>
      <c r="J1903" s="646"/>
      <c r="K1903" s="669"/>
      <c r="L1903" s="705" t="s">
        <v>457</v>
      </c>
      <c r="M1903" s="763">
        <f>+M1902-M1901</f>
        <v>73.272486660787536</v>
      </c>
      <c r="N1903" s="763">
        <f>+N1902-N1901</f>
        <v>73.272486660787536</v>
      </c>
      <c r="O1903" s="764">
        <f>+O1902-O1901</f>
        <v>0</v>
      </c>
      <c r="Q1903" s="669"/>
    </row>
    <row r="1904" spans="1:17" ht="13.5" thickBot="1">
      <c r="B1904" s="330"/>
      <c r="C1904" s="689"/>
      <c r="D1904" s="690"/>
      <c r="E1904" s="688"/>
      <c r="F1904" s="688"/>
      <c r="G1904" s="688"/>
      <c r="H1904" s="688"/>
      <c r="I1904" s="688"/>
      <c r="J1904" s="688"/>
      <c r="K1904" s="691"/>
      <c r="L1904" s="688"/>
      <c r="M1904" s="688"/>
      <c r="N1904" s="688"/>
      <c r="O1904" s="688"/>
      <c r="P1904" s="576"/>
      <c r="Q1904" s="691"/>
    </row>
    <row r="1905" spans="1:17" ht="13.5" thickBot="1">
      <c r="B1905" s="330"/>
      <c r="C1905" s="692" t="s">
        <v>294</v>
      </c>
      <c r="D1905" s="693"/>
      <c r="E1905" s="693"/>
      <c r="F1905" s="693"/>
      <c r="G1905" s="693"/>
      <c r="H1905" s="693"/>
      <c r="I1905" s="693"/>
      <c r="J1905" s="693"/>
      <c r="K1905" s="695"/>
      <c r="P1905" s="696"/>
      <c r="Q1905" s="695"/>
    </row>
    <row r="1906" spans="1:17" ht="15">
      <c r="A1906" s="1310"/>
      <c r="B1906" s="330"/>
      <c r="C1906" s="697" t="s">
        <v>272</v>
      </c>
      <c r="D1906" s="1253">
        <v>8640.07</v>
      </c>
      <c r="E1906" s="655" t="s">
        <v>273</v>
      </c>
      <c r="H1906" s="698"/>
      <c r="I1906" s="698"/>
      <c r="J1906" s="1451">
        <f>$J$95</f>
        <v>2021</v>
      </c>
      <c r="K1906" s="586"/>
      <c r="L1906" s="1717" t="s">
        <v>274</v>
      </c>
      <c r="M1906" s="1717"/>
      <c r="N1906" s="1717"/>
      <c r="O1906" s="1717"/>
      <c r="P1906" s="588"/>
      <c r="Q1906" s="586"/>
    </row>
    <row r="1907" spans="1:17">
      <c r="A1907" s="1310"/>
      <c r="B1907" s="330"/>
      <c r="C1907" s="697" t="s">
        <v>275</v>
      </c>
      <c r="D1907" s="865">
        <v>2014</v>
      </c>
      <c r="E1907" s="697" t="s">
        <v>276</v>
      </c>
      <c r="F1907" s="698"/>
      <c r="G1907" s="698"/>
      <c r="I1907" s="330"/>
      <c r="J1907" s="867">
        <v>0</v>
      </c>
      <c r="K1907" s="700"/>
      <c r="L1907" s="669" t="s">
        <v>475</v>
      </c>
      <c r="P1907" s="588"/>
      <c r="Q1907" s="700"/>
    </row>
    <row r="1908" spans="1:17">
      <c r="A1908" s="1310"/>
      <c r="B1908" s="330"/>
      <c r="C1908" s="697" t="s">
        <v>277</v>
      </c>
      <c r="D1908" s="1253">
        <v>7</v>
      </c>
      <c r="E1908" s="697" t="s">
        <v>278</v>
      </c>
      <c r="F1908" s="698"/>
      <c r="G1908" s="698"/>
      <c r="I1908" s="330"/>
      <c r="J1908" s="701">
        <f>$F$70</f>
        <v>0.15341253840442806</v>
      </c>
      <c r="K1908" s="702"/>
      <c r="L1908" s="542" t="str">
        <f>"          INPUT TRUE-UP ARR (WITH &amp; WITHOUT INCENTIVES) FROM EACH PRIOR YEAR"</f>
        <v xml:space="preserve">          INPUT TRUE-UP ARR (WITH &amp; WITHOUT INCENTIVES) FROM EACH PRIOR YEAR</v>
      </c>
      <c r="P1908" s="588"/>
      <c r="Q1908" s="702"/>
    </row>
    <row r="1909" spans="1:17">
      <c r="A1909" s="1310"/>
      <c r="B1909" s="330"/>
      <c r="C1909" s="697" t="s">
        <v>279</v>
      </c>
      <c r="D1909" s="703">
        <f>H79</f>
        <v>44</v>
      </c>
      <c r="E1909" s="697" t="s">
        <v>280</v>
      </c>
      <c r="F1909" s="698"/>
      <c r="G1909" s="698"/>
      <c r="I1909" s="330"/>
      <c r="J1909" s="701">
        <f>IF(H1900="",J1908,$F$69)</f>
        <v>0.15341253840442806</v>
      </c>
      <c r="K1909" s="704"/>
      <c r="L1909" s="542" t="s">
        <v>362</v>
      </c>
      <c r="M1909" s="704"/>
      <c r="N1909" s="704"/>
      <c r="O1909" s="704"/>
      <c r="P1909" s="588"/>
      <c r="Q1909" s="704"/>
    </row>
    <row r="1910" spans="1:17" ht="13.5" thickBot="1">
      <c r="A1910" s="1310"/>
      <c r="B1910" s="330"/>
      <c r="C1910" s="697" t="s">
        <v>281</v>
      </c>
      <c r="D1910" s="866" t="s">
        <v>933</v>
      </c>
      <c r="E1910" s="705" t="s">
        <v>282</v>
      </c>
      <c r="F1910" s="706"/>
      <c r="G1910" s="706"/>
      <c r="H1910" s="707"/>
      <c r="I1910" s="707"/>
      <c r="J1910" s="685">
        <f>IF(D1906=0,0,D1906/D1909)</f>
        <v>196.36522727272725</v>
      </c>
      <c r="K1910" s="669"/>
      <c r="L1910" s="669" t="s">
        <v>363</v>
      </c>
      <c r="M1910" s="669"/>
      <c r="N1910" s="669"/>
      <c r="O1910" s="669"/>
      <c r="P1910" s="588"/>
      <c r="Q1910" s="669"/>
    </row>
    <row r="1911" spans="1:17" ht="38.25">
      <c r="A1911" s="529"/>
      <c r="B1911" s="529"/>
      <c r="C1911" s="708" t="s">
        <v>272</v>
      </c>
      <c r="D1911" s="709" t="s">
        <v>283</v>
      </c>
      <c r="E1911" s="710" t="s">
        <v>284</v>
      </c>
      <c r="F1911" s="709" t="s">
        <v>285</v>
      </c>
      <c r="G1911" s="709" t="s">
        <v>458</v>
      </c>
      <c r="H1911" s="710" t="s">
        <v>356</v>
      </c>
      <c r="I1911" s="711" t="s">
        <v>356</v>
      </c>
      <c r="J1911" s="708" t="s">
        <v>295</v>
      </c>
      <c r="K1911" s="712"/>
      <c r="L1911" s="710" t="s">
        <v>358</v>
      </c>
      <c r="M1911" s="710" t="s">
        <v>364</v>
      </c>
      <c r="N1911" s="710" t="s">
        <v>358</v>
      </c>
      <c r="O1911" s="710" t="s">
        <v>366</v>
      </c>
      <c r="P1911" s="710" t="s">
        <v>286</v>
      </c>
      <c r="Q1911" s="713"/>
    </row>
    <row r="1912" spans="1:17" ht="13.5" thickBot="1">
      <c r="B1912" s="330"/>
      <c r="C1912" s="714" t="s">
        <v>177</v>
      </c>
      <c r="D1912" s="715" t="s">
        <v>178</v>
      </c>
      <c r="E1912" s="714" t="s">
        <v>37</v>
      </c>
      <c r="F1912" s="715" t="s">
        <v>178</v>
      </c>
      <c r="G1912" s="715" t="s">
        <v>178</v>
      </c>
      <c r="H1912" s="716" t="s">
        <v>298</v>
      </c>
      <c r="I1912" s="717" t="s">
        <v>300</v>
      </c>
      <c r="J1912" s="718" t="s">
        <v>389</v>
      </c>
      <c r="K1912" s="719"/>
      <c r="L1912" s="716" t="s">
        <v>287</v>
      </c>
      <c r="M1912" s="716" t="s">
        <v>287</v>
      </c>
      <c r="N1912" s="716" t="s">
        <v>467</v>
      </c>
      <c r="O1912" s="716" t="s">
        <v>467</v>
      </c>
      <c r="P1912" s="716" t="s">
        <v>467</v>
      </c>
      <c r="Q1912" s="586"/>
    </row>
    <row r="1913" spans="1:17">
      <c r="B1913" s="330"/>
      <c r="C1913" s="720">
        <f>IF(D1907= "","-",D1907)</f>
        <v>2014</v>
      </c>
      <c r="D1913" s="673">
        <f>+D1906</f>
        <v>8640.07</v>
      </c>
      <c r="E1913" s="721">
        <f>+J1910/12*(12-D1908)</f>
        <v>81.818844696969691</v>
      </c>
      <c r="F1913" s="765">
        <f t="shared" ref="F1913:F1972" si="180">+D1913-E1913</f>
        <v>8558.2511553030308</v>
      </c>
      <c r="G1913" s="673">
        <f t="shared" ref="G1913:G1944" si="181">+(D1913+F1913)/2</f>
        <v>8599.1605776515153</v>
      </c>
      <c r="H1913" s="722">
        <f>+J1908*G1913+E1913</f>
        <v>1401.0378970617767</v>
      </c>
      <c r="I1913" s="723">
        <f>+J1909*G1913+E1913</f>
        <v>1401.0378970617767</v>
      </c>
      <c r="J1913" s="724">
        <f t="shared" ref="J1913:J1944" si="182">+I1913-H1913</f>
        <v>0</v>
      </c>
      <c r="K1913" s="724"/>
      <c r="L1913" s="728">
        <v>0</v>
      </c>
      <c r="M1913" s="766">
        <f t="shared" ref="M1913:M1944" si="183">IF(L1913&lt;&gt;0,+H1913-L1913,0)</f>
        <v>0</v>
      </c>
      <c r="N1913" s="728">
        <v>0</v>
      </c>
      <c r="O1913" s="766">
        <f t="shared" ref="O1913:O1944" si="184">IF(N1913&lt;&gt;0,+I1913-N1913,0)</f>
        <v>0</v>
      </c>
      <c r="P1913" s="766">
        <f t="shared" ref="P1913:P1972" si="185">+O1913-M1913</f>
        <v>0</v>
      </c>
      <c r="Q1913" s="674"/>
    </row>
    <row r="1914" spans="1:17">
      <c r="B1914" s="330"/>
      <c r="C1914" s="720">
        <f>IF(D1907="","-",+C1913+1)</f>
        <v>2015</v>
      </c>
      <c r="D1914" s="673">
        <f t="shared" ref="D1914:D1972" si="186">F1913</f>
        <v>8558.2511553030308</v>
      </c>
      <c r="E1914" s="726">
        <f>IF(D1914&gt;$J$1910,$J$1910,D1914)</f>
        <v>196.36522727272725</v>
      </c>
      <c r="F1914" s="726">
        <f t="shared" si="180"/>
        <v>8361.8859280303041</v>
      </c>
      <c r="G1914" s="673">
        <f t="shared" si="181"/>
        <v>8460.0685416666674</v>
      </c>
      <c r="H1914" s="721">
        <f>+J1908*G1914+E1914</f>
        <v>1494.2458173252585</v>
      </c>
      <c r="I1914" s="727">
        <f>+J1909*G1914+E1914</f>
        <v>1494.2458173252585</v>
      </c>
      <c r="J1914" s="724">
        <f t="shared" si="182"/>
        <v>0</v>
      </c>
      <c r="K1914" s="724"/>
      <c r="L1914" s="728">
        <v>0</v>
      </c>
      <c r="M1914" s="724">
        <f t="shared" si="183"/>
        <v>0</v>
      </c>
      <c r="N1914" s="728">
        <v>0</v>
      </c>
      <c r="O1914" s="724">
        <f t="shared" si="184"/>
        <v>0</v>
      </c>
      <c r="P1914" s="724">
        <f t="shared" si="185"/>
        <v>0</v>
      </c>
      <c r="Q1914" s="674"/>
    </row>
    <row r="1915" spans="1:17">
      <c r="B1915" s="330"/>
      <c r="C1915" s="720">
        <f>IF(D1907="","-",+C1914+1)</f>
        <v>2016</v>
      </c>
      <c r="D1915" s="673">
        <f t="shared" si="186"/>
        <v>8361.8859280303041</v>
      </c>
      <c r="E1915" s="726">
        <f t="shared" ref="E1915:E1972" si="187">IF(D1915&gt;$J$1910,$J$1910,D1915)</f>
        <v>196.36522727272725</v>
      </c>
      <c r="F1915" s="726">
        <f t="shared" si="180"/>
        <v>8165.5207007575764</v>
      </c>
      <c r="G1915" s="673">
        <f t="shared" si="181"/>
        <v>8263.7033143939407</v>
      </c>
      <c r="H1915" s="721">
        <f>+J1908*G1915+E1915</f>
        <v>1464.1209293549871</v>
      </c>
      <c r="I1915" s="727">
        <f>+J1909*G1915+E1915</f>
        <v>1464.1209293549871</v>
      </c>
      <c r="J1915" s="724">
        <f t="shared" si="182"/>
        <v>0</v>
      </c>
      <c r="K1915" s="724"/>
      <c r="L1915" s="728">
        <v>0</v>
      </c>
      <c r="M1915" s="724">
        <f t="shared" si="183"/>
        <v>0</v>
      </c>
      <c r="N1915" s="728">
        <v>0</v>
      </c>
      <c r="O1915" s="724">
        <f t="shared" si="184"/>
        <v>0</v>
      </c>
      <c r="P1915" s="724">
        <f t="shared" si="185"/>
        <v>0</v>
      </c>
      <c r="Q1915" s="674"/>
    </row>
    <row r="1916" spans="1:17">
      <c r="B1916" s="330"/>
      <c r="C1916" s="720">
        <f>IF(D1907="","-",+C1915+1)</f>
        <v>2017</v>
      </c>
      <c r="D1916" s="1269">
        <f t="shared" si="186"/>
        <v>8165.5207007575764</v>
      </c>
      <c r="E1916" s="726">
        <f t="shared" si="187"/>
        <v>196.36522727272725</v>
      </c>
      <c r="F1916" s="726">
        <f t="shared" si="180"/>
        <v>7969.1554734848487</v>
      </c>
      <c r="G1916" s="673">
        <f t="shared" si="181"/>
        <v>8067.3380871212121</v>
      </c>
      <c r="H1916" s="721">
        <f>+J1908*G1916+E1916</f>
        <v>1433.9960413847155</v>
      </c>
      <c r="I1916" s="727">
        <f>+J1909*G1916+E1916</f>
        <v>1433.9960413847155</v>
      </c>
      <c r="J1916" s="724">
        <f t="shared" si="182"/>
        <v>0</v>
      </c>
      <c r="K1916" s="724"/>
      <c r="L1916" s="728">
        <v>0</v>
      </c>
      <c r="M1916" s="724">
        <f t="shared" si="183"/>
        <v>0</v>
      </c>
      <c r="N1916" s="728">
        <v>0</v>
      </c>
      <c r="O1916" s="724">
        <f t="shared" si="184"/>
        <v>0</v>
      </c>
      <c r="P1916" s="724">
        <f t="shared" si="185"/>
        <v>0</v>
      </c>
      <c r="Q1916" s="674"/>
    </row>
    <row r="1917" spans="1:17">
      <c r="B1917" s="330"/>
      <c r="C1917" s="720">
        <f>IF(D1907="","-",+C1916+1)</f>
        <v>2018</v>
      </c>
      <c r="D1917" s="1455">
        <f t="shared" si="186"/>
        <v>7969.1554734848487</v>
      </c>
      <c r="E1917" s="726">
        <f t="shared" si="187"/>
        <v>196.36522727272725</v>
      </c>
      <c r="F1917" s="726">
        <f t="shared" si="180"/>
        <v>7772.790246212121</v>
      </c>
      <c r="G1917" s="673">
        <f t="shared" si="181"/>
        <v>7870.9728598484853</v>
      </c>
      <c r="H1917" s="721">
        <f>+J1908*G1917+E1917</f>
        <v>1403.8711534144441</v>
      </c>
      <c r="I1917" s="727">
        <f>+J1909*G1917+E1917</f>
        <v>1403.8711534144441</v>
      </c>
      <c r="J1917" s="724">
        <f t="shared" si="182"/>
        <v>0</v>
      </c>
      <c r="K1917" s="724"/>
      <c r="L1917" s="728">
        <v>1387</v>
      </c>
      <c r="M1917" s="724">
        <f t="shared" si="183"/>
        <v>16.871153414444052</v>
      </c>
      <c r="N1917" s="728">
        <v>1387</v>
      </c>
      <c r="O1917" s="724">
        <f t="shared" si="184"/>
        <v>16.871153414444052</v>
      </c>
      <c r="P1917" s="724">
        <f t="shared" si="185"/>
        <v>0</v>
      </c>
      <c r="Q1917" s="674"/>
    </row>
    <row r="1918" spans="1:17">
      <c r="B1918" s="330"/>
      <c r="C1918" s="720">
        <f>IF(D1907="","-",+C1917+1)</f>
        <v>2019</v>
      </c>
      <c r="D1918" s="1269">
        <f t="shared" si="186"/>
        <v>7772.790246212121</v>
      </c>
      <c r="E1918" s="726">
        <f t="shared" si="187"/>
        <v>196.36522727272725</v>
      </c>
      <c r="F1918" s="726">
        <f t="shared" si="180"/>
        <v>7576.4250189393933</v>
      </c>
      <c r="G1918" s="673">
        <f t="shared" si="181"/>
        <v>7674.6076325757567</v>
      </c>
      <c r="H1918" s="721">
        <f>+J1908*G1918+E1918</f>
        <v>1373.7462654441722</v>
      </c>
      <c r="I1918" s="727">
        <f>+J1909*G1918+E1918</f>
        <v>1373.7462654441722</v>
      </c>
      <c r="J1918" s="724">
        <f t="shared" si="182"/>
        <v>0</v>
      </c>
      <c r="K1918" s="724"/>
      <c r="L1918" s="1452">
        <v>1349</v>
      </c>
      <c r="M1918" s="724">
        <f t="shared" si="183"/>
        <v>24.746265444172195</v>
      </c>
      <c r="N1918" s="1452">
        <v>1349</v>
      </c>
      <c r="O1918" s="724">
        <f t="shared" si="184"/>
        <v>24.746265444172195</v>
      </c>
      <c r="P1918" s="724">
        <f t="shared" si="185"/>
        <v>0</v>
      </c>
      <c r="Q1918" s="674"/>
    </row>
    <row r="1919" spans="1:17">
      <c r="B1919" s="330"/>
      <c r="C1919" s="720">
        <f>IF(D1907="","-",+C1918+1)</f>
        <v>2020</v>
      </c>
      <c r="D1919" s="1269">
        <f t="shared" si="186"/>
        <v>7576.4250189393933</v>
      </c>
      <c r="E1919" s="726">
        <f t="shared" si="187"/>
        <v>196.36522727272725</v>
      </c>
      <c r="F1919" s="726">
        <f t="shared" si="180"/>
        <v>7380.0597916666657</v>
      </c>
      <c r="G1919" s="673">
        <f t="shared" si="181"/>
        <v>7478.24240530303</v>
      </c>
      <c r="H1919" s="721">
        <f>+J1908*G1919+E1919</f>
        <v>1343.6213774739008</v>
      </c>
      <c r="I1919" s="727">
        <f>+J1909*G1919+E1919</f>
        <v>1343.6213774739008</v>
      </c>
      <c r="J1919" s="724">
        <f t="shared" si="182"/>
        <v>0</v>
      </c>
      <c r="K1919" s="724"/>
      <c r="L1919" s="728">
        <v>2796.2643351965316</v>
      </c>
      <c r="M1919" s="724">
        <f t="shared" si="183"/>
        <v>-1452.6429577226309</v>
      </c>
      <c r="N1919" s="1548">
        <v>2796.2643351965316</v>
      </c>
      <c r="O1919" s="724">
        <f t="shared" si="184"/>
        <v>-1452.6429577226309</v>
      </c>
      <c r="P1919" s="724">
        <f t="shared" si="185"/>
        <v>0</v>
      </c>
      <c r="Q1919" s="674"/>
    </row>
    <row r="1920" spans="1:17">
      <c r="B1920" s="330"/>
      <c r="C1920" s="720">
        <f>IF(D1907="","-",+C1919+1)</f>
        <v>2021</v>
      </c>
      <c r="D1920" s="673">
        <f t="shared" si="186"/>
        <v>7380.0597916666657</v>
      </c>
      <c r="E1920" s="726">
        <f t="shared" si="187"/>
        <v>196.36522727272725</v>
      </c>
      <c r="F1920" s="726">
        <f t="shared" si="180"/>
        <v>7183.694564393938</v>
      </c>
      <c r="G1920" s="673">
        <f t="shared" si="181"/>
        <v>7281.8771780303014</v>
      </c>
      <c r="H1920" s="721">
        <f>+J1908*G1920+E1920</f>
        <v>1313.4964895036292</v>
      </c>
      <c r="I1920" s="727">
        <f>+J1909*G1920+E1920</f>
        <v>1313.4964895036292</v>
      </c>
      <c r="J1920" s="724">
        <f t="shared" si="182"/>
        <v>0</v>
      </c>
      <c r="K1920" s="724"/>
      <c r="L1920" s="728">
        <v>1240.2240028428416</v>
      </c>
      <c r="M1920" s="724">
        <f t="shared" si="183"/>
        <v>73.272486660787536</v>
      </c>
      <c r="N1920" s="1548">
        <v>1240.2240028428416</v>
      </c>
      <c r="O1920" s="724">
        <f t="shared" si="184"/>
        <v>73.272486660787536</v>
      </c>
      <c r="P1920" s="724">
        <f t="shared" si="185"/>
        <v>0</v>
      </c>
      <c r="Q1920" s="674"/>
    </row>
    <row r="1921" spans="2:17">
      <c r="B1921" s="330"/>
      <c r="C1921" s="720">
        <f>IF(D1907="","-",+C1920+1)</f>
        <v>2022</v>
      </c>
      <c r="D1921" s="673">
        <f t="shared" si="186"/>
        <v>7183.694564393938</v>
      </c>
      <c r="E1921" s="726">
        <f t="shared" si="187"/>
        <v>196.36522727272725</v>
      </c>
      <c r="F1921" s="726">
        <f t="shared" si="180"/>
        <v>6987.3293371212103</v>
      </c>
      <c r="G1921" s="673">
        <f t="shared" si="181"/>
        <v>7085.5119507575746</v>
      </c>
      <c r="H1921" s="721">
        <f>+J1908*G1921+E1921</f>
        <v>1283.3716015333575</v>
      </c>
      <c r="I1921" s="727">
        <f>+J1909*G1921+E1921</f>
        <v>1283.3716015333575</v>
      </c>
      <c r="J1921" s="724">
        <f t="shared" si="182"/>
        <v>0</v>
      </c>
      <c r="K1921" s="724"/>
      <c r="L1921" s="728">
        <v>0</v>
      </c>
      <c r="M1921" s="724">
        <f t="shared" si="183"/>
        <v>0</v>
      </c>
      <c r="N1921" s="728">
        <v>0</v>
      </c>
      <c r="O1921" s="724">
        <f t="shared" si="184"/>
        <v>0</v>
      </c>
      <c r="P1921" s="724">
        <f t="shared" si="185"/>
        <v>0</v>
      </c>
      <c r="Q1921" s="674"/>
    </row>
    <row r="1922" spans="2:17">
      <c r="B1922" s="330"/>
      <c r="C1922" s="1291">
        <f>IF(D1907="","-",+C1921+1)</f>
        <v>2023</v>
      </c>
      <c r="D1922" s="673">
        <f t="shared" si="186"/>
        <v>6987.3293371212103</v>
      </c>
      <c r="E1922" s="726">
        <f t="shared" si="187"/>
        <v>196.36522727272725</v>
      </c>
      <c r="F1922" s="726">
        <f t="shared" si="180"/>
        <v>6790.9641098484826</v>
      </c>
      <c r="G1922" s="673">
        <f t="shared" si="181"/>
        <v>6889.146723484846</v>
      </c>
      <c r="H1922" s="721">
        <f>+J1908*G1922+E1922</f>
        <v>1253.2467135630859</v>
      </c>
      <c r="I1922" s="727">
        <f>+J1909*G1922+E1922</f>
        <v>1253.2467135630859</v>
      </c>
      <c r="J1922" s="724">
        <f t="shared" si="182"/>
        <v>0</v>
      </c>
      <c r="K1922" s="724"/>
      <c r="L1922" s="728">
        <v>0</v>
      </c>
      <c r="M1922" s="724">
        <f t="shared" si="183"/>
        <v>0</v>
      </c>
      <c r="N1922" s="728">
        <v>0</v>
      </c>
      <c r="O1922" s="724">
        <f t="shared" si="184"/>
        <v>0</v>
      </c>
      <c r="P1922" s="724">
        <f t="shared" si="185"/>
        <v>0</v>
      </c>
      <c r="Q1922" s="674"/>
    </row>
    <row r="1923" spans="2:17">
      <c r="B1923" s="330"/>
      <c r="C1923" s="720">
        <f>IF(D1907="","-",+C1922+1)</f>
        <v>2024</v>
      </c>
      <c r="D1923" s="673">
        <f t="shared" si="186"/>
        <v>6790.9641098484826</v>
      </c>
      <c r="E1923" s="726">
        <f t="shared" si="187"/>
        <v>196.36522727272725</v>
      </c>
      <c r="F1923" s="726">
        <f t="shared" si="180"/>
        <v>6594.5988825757549</v>
      </c>
      <c r="G1923" s="673">
        <f t="shared" si="181"/>
        <v>6692.7814962121192</v>
      </c>
      <c r="H1923" s="721">
        <f>+J1908*G1923+E1923</f>
        <v>1223.1218255928145</v>
      </c>
      <c r="I1923" s="727">
        <f>+J1909*G1923+E1923</f>
        <v>1223.1218255928145</v>
      </c>
      <c r="J1923" s="724">
        <f t="shared" si="182"/>
        <v>0</v>
      </c>
      <c r="K1923" s="724"/>
      <c r="L1923" s="728"/>
      <c r="M1923" s="724">
        <f t="shared" si="183"/>
        <v>0</v>
      </c>
      <c r="N1923" s="728"/>
      <c r="O1923" s="724">
        <f t="shared" si="184"/>
        <v>0</v>
      </c>
      <c r="P1923" s="724">
        <f t="shared" si="185"/>
        <v>0</v>
      </c>
      <c r="Q1923" s="674"/>
    </row>
    <row r="1924" spans="2:17">
      <c r="B1924" s="330"/>
      <c r="C1924" s="720">
        <f>IF(D1907="","-",+C1923+1)</f>
        <v>2025</v>
      </c>
      <c r="D1924" s="673">
        <f t="shared" si="186"/>
        <v>6594.5988825757549</v>
      </c>
      <c r="E1924" s="726">
        <f t="shared" si="187"/>
        <v>196.36522727272725</v>
      </c>
      <c r="F1924" s="726">
        <f t="shared" si="180"/>
        <v>6398.2336553030273</v>
      </c>
      <c r="G1924" s="673">
        <f t="shared" si="181"/>
        <v>6496.4162689393906</v>
      </c>
      <c r="H1924" s="721">
        <f>+J1908*G1924+E1924</f>
        <v>1192.9969376225429</v>
      </c>
      <c r="I1924" s="727">
        <f>+J1909*G1924+E1924</f>
        <v>1192.9969376225429</v>
      </c>
      <c r="J1924" s="724">
        <f t="shared" si="182"/>
        <v>0</v>
      </c>
      <c r="K1924" s="724"/>
      <c r="L1924" s="728"/>
      <c r="M1924" s="724">
        <f t="shared" si="183"/>
        <v>0</v>
      </c>
      <c r="N1924" s="728"/>
      <c r="O1924" s="724">
        <f t="shared" si="184"/>
        <v>0</v>
      </c>
      <c r="P1924" s="724">
        <f t="shared" si="185"/>
        <v>0</v>
      </c>
      <c r="Q1924" s="674"/>
    </row>
    <row r="1925" spans="2:17">
      <c r="B1925" s="330"/>
      <c r="C1925" s="720">
        <f>IF(D1907="","-",+C1924+1)</f>
        <v>2026</v>
      </c>
      <c r="D1925" s="673">
        <f t="shared" si="186"/>
        <v>6398.2336553030273</v>
      </c>
      <c r="E1925" s="726">
        <f t="shared" si="187"/>
        <v>196.36522727272725</v>
      </c>
      <c r="F1925" s="726">
        <f t="shared" si="180"/>
        <v>6201.8684280302996</v>
      </c>
      <c r="G1925" s="673">
        <f t="shared" si="181"/>
        <v>6300.0510416666639</v>
      </c>
      <c r="H1925" s="721">
        <f>+J1908*G1925+E1925</f>
        <v>1162.8720496522715</v>
      </c>
      <c r="I1925" s="727">
        <f>+J1909*G1925+E1925</f>
        <v>1162.8720496522715</v>
      </c>
      <c r="J1925" s="724">
        <f t="shared" si="182"/>
        <v>0</v>
      </c>
      <c r="K1925" s="724"/>
      <c r="L1925" s="728"/>
      <c r="M1925" s="724">
        <f t="shared" si="183"/>
        <v>0</v>
      </c>
      <c r="N1925" s="728"/>
      <c r="O1925" s="724">
        <f t="shared" si="184"/>
        <v>0</v>
      </c>
      <c r="P1925" s="724">
        <f t="shared" si="185"/>
        <v>0</v>
      </c>
      <c r="Q1925" s="674"/>
    </row>
    <row r="1926" spans="2:17">
      <c r="B1926" s="330"/>
      <c r="C1926" s="720">
        <f>IF(D1907="","-",+C1925+1)</f>
        <v>2027</v>
      </c>
      <c r="D1926" s="673">
        <f t="shared" si="186"/>
        <v>6201.8684280302996</v>
      </c>
      <c r="E1926" s="726">
        <f t="shared" si="187"/>
        <v>196.36522727272725</v>
      </c>
      <c r="F1926" s="726">
        <f t="shared" si="180"/>
        <v>6005.5032007575719</v>
      </c>
      <c r="G1926" s="673">
        <f t="shared" si="181"/>
        <v>6103.6858143939353</v>
      </c>
      <c r="H1926" s="721">
        <f>+J1908*G1926+E1926</f>
        <v>1132.7471616819996</v>
      </c>
      <c r="I1926" s="727">
        <f>+J1909*G1926+E1926</f>
        <v>1132.7471616819996</v>
      </c>
      <c r="J1926" s="724">
        <f t="shared" si="182"/>
        <v>0</v>
      </c>
      <c r="K1926" s="724"/>
      <c r="L1926" s="728"/>
      <c r="M1926" s="724">
        <f t="shared" si="183"/>
        <v>0</v>
      </c>
      <c r="N1926" s="728"/>
      <c r="O1926" s="724">
        <f t="shared" si="184"/>
        <v>0</v>
      </c>
      <c r="P1926" s="724">
        <f t="shared" si="185"/>
        <v>0</v>
      </c>
      <c r="Q1926" s="674"/>
    </row>
    <row r="1927" spans="2:17">
      <c r="B1927" s="330"/>
      <c r="C1927" s="720">
        <f>IF(D1907="","-",+C1926+1)</f>
        <v>2028</v>
      </c>
      <c r="D1927" s="673">
        <f t="shared" si="186"/>
        <v>6005.5032007575719</v>
      </c>
      <c r="E1927" s="726">
        <f t="shared" si="187"/>
        <v>196.36522727272725</v>
      </c>
      <c r="F1927" s="726">
        <f t="shared" si="180"/>
        <v>5809.1379734848442</v>
      </c>
      <c r="G1927" s="673">
        <f t="shared" si="181"/>
        <v>5907.3205871212085</v>
      </c>
      <c r="H1927" s="721">
        <f>+J1908*G1927+E1927</f>
        <v>1102.6222737117282</v>
      </c>
      <c r="I1927" s="727">
        <f>+J1909*G1927+E1927</f>
        <v>1102.6222737117282</v>
      </c>
      <c r="J1927" s="724">
        <f t="shared" si="182"/>
        <v>0</v>
      </c>
      <c r="K1927" s="724"/>
      <c r="L1927" s="728"/>
      <c r="M1927" s="724">
        <f t="shared" si="183"/>
        <v>0</v>
      </c>
      <c r="N1927" s="728"/>
      <c r="O1927" s="724">
        <f t="shared" si="184"/>
        <v>0</v>
      </c>
      <c r="P1927" s="724">
        <f t="shared" si="185"/>
        <v>0</v>
      </c>
      <c r="Q1927" s="674"/>
    </row>
    <row r="1928" spans="2:17">
      <c r="B1928" s="330"/>
      <c r="C1928" s="720">
        <f>IF(D1907="","-",+C1927+1)</f>
        <v>2029</v>
      </c>
      <c r="D1928" s="673">
        <f t="shared" si="186"/>
        <v>5809.1379734848442</v>
      </c>
      <c r="E1928" s="726">
        <f t="shared" si="187"/>
        <v>196.36522727272725</v>
      </c>
      <c r="F1928" s="726">
        <f t="shared" si="180"/>
        <v>5612.7727462121165</v>
      </c>
      <c r="G1928" s="673">
        <f t="shared" si="181"/>
        <v>5710.9553598484799</v>
      </c>
      <c r="H1928" s="721">
        <f>+J1908*G1928+E1928</f>
        <v>1072.4973857414566</v>
      </c>
      <c r="I1928" s="727">
        <f>+J1909*G1928+E1928</f>
        <v>1072.4973857414566</v>
      </c>
      <c r="J1928" s="724">
        <f t="shared" si="182"/>
        <v>0</v>
      </c>
      <c r="K1928" s="724"/>
      <c r="L1928" s="728"/>
      <c r="M1928" s="724">
        <f t="shared" si="183"/>
        <v>0</v>
      </c>
      <c r="N1928" s="728"/>
      <c r="O1928" s="724">
        <f t="shared" si="184"/>
        <v>0</v>
      </c>
      <c r="P1928" s="724">
        <f t="shared" si="185"/>
        <v>0</v>
      </c>
      <c r="Q1928" s="674"/>
    </row>
    <row r="1929" spans="2:17">
      <c r="B1929" s="330"/>
      <c r="C1929" s="720">
        <f>IF(D1907="","-",+C1928+1)</f>
        <v>2030</v>
      </c>
      <c r="D1929" s="673">
        <f t="shared" si="186"/>
        <v>5612.7727462121165</v>
      </c>
      <c r="E1929" s="726">
        <f t="shared" si="187"/>
        <v>196.36522727272725</v>
      </c>
      <c r="F1929" s="726">
        <f t="shared" si="180"/>
        <v>5416.4075189393889</v>
      </c>
      <c r="G1929" s="673">
        <f t="shared" si="181"/>
        <v>5514.5901325757532</v>
      </c>
      <c r="H1929" s="721">
        <f>+J1908*G1929+E1929</f>
        <v>1042.372497771185</v>
      </c>
      <c r="I1929" s="727">
        <f>+J1909*G1929+E1929</f>
        <v>1042.372497771185</v>
      </c>
      <c r="J1929" s="724">
        <f t="shared" si="182"/>
        <v>0</v>
      </c>
      <c r="K1929" s="724"/>
      <c r="L1929" s="728"/>
      <c r="M1929" s="724">
        <f t="shared" si="183"/>
        <v>0</v>
      </c>
      <c r="N1929" s="728"/>
      <c r="O1929" s="724">
        <f t="shared" si="184"/>
        <v>0</v>
      </c>
      <c r="P1929" s="724">
        <f t="shared" si="185"/>
        <v>0</v>
      </c>
      <c r="Q1929" s="674"/>
    </row>
    <row r="1930" spans="2:17">
      <c r="B1930" s="330"/>
      <c r="C1930" s="720">
        <f>IF(D1907="","-",+C1929+1)</f>
        <v>2031</v>
      </c>
      <c r="D1930" s="673">
        <f t="shared" si="186"/>
        <v>5416.4075189393889</v>
      </c>
      <c r="E1930" s="726">
        <f t="shared" si="187"/>
        <v>196.36522727272725</v>
      </c>
      <c r="F1930" s="726">
        <f t="shared" si="180"/>
        <v>5220.0422916666612</v>
      </c>
      <c r="G1930" s="673">
        <f t="shared" si="181"/>
        <v>5318.2249053030246</v>
      </c>
      <c r="H1930" s="721">
        <f>+J1908*G1930+E1930</f>
        <v>1012.2476098009133</v>
      </c>
      <c r="I1930" s="727">
        <f>+J1909*G1930+E1930</f>
        <v>1012.2476098009133</v>
      </c>
      <c r="J1930" s="724">
        <f t="shared" si="182"/>
        <v>0</v>
      </c>
      <c r="K1930" s="724"/>
      <c r="L1930" s="728"/>
      <c r="M1930" s="724">
        <f t="shared" si="183"/>
        <v>0</v>
      </c>
      <c r="N1930" s="728"/>
      <c r="O1930" s="724">
        <f t="shared" si="184"/>
        <v>0</v>
      </c>
      <c r="P1930" s="724">
        <f t="shared" si="185"/>
        <v>0</v>
      </c>
      <c r="Q1930" s="674"/>
    </row>
    <row r="1931" spans="2:17">
      <c r="B1931" s="330"/>
      <c r="C1931" s="720">
        <f>IF(D1907="","-",+C1930+1)</f>
        <v>2032</v>
      </c>
      <c r="D1931" s="673">
        <f t="shared" si="186"/>
        <v>5220.0422916666612</v>
      </c>
      <c r="E1931" s="726">
        <f t="shared" si="187"/>
        <v>196.36522727272725</v>
      </c>
      <c r="F1931" s="726">
        <f t="shared" si="180"/>
        <v>5023.6770643939335</v>
      </c>
      <c r="G1931" s="673">
        <f t="shared" si="181"/>
        <v>5121.8596780302978</v>
      </c>
      <c r="H1931" s="721">
        <f>+J1908*G1931+E1931</f>
        <v>982.12272183064181</v>
      </c>
      <c r="I1931" s="727">
        <f>+J1909*G1931+E1931</f>
        <v>982.12272183064181</v>
      </c>
      <c r="J1931" s="724">
        <f t="shared" si="182"/>
        <v>0</v>
      </c>
      <c r="K1931" s="724"/>
      <c r="L1931" s="728"/>
      <c r="M1931" s="724">
        <f t="shared" si="183"/>
        <v>0</v>
      </c>
      <c r="N1931" s="728"/>
      <c r="O1931" s="724">
        <f t="shared" si="184"/>
        <v>0</v>
      </c>
      <c r="P1931" s="724">
        <f t="shared" si="185"/>
        <v>0</v>
      </c>
      <c r="Q1931" s="674"/>
    </row>
    <row r="1932" spans="2:17">
      <c r="B1932" s="330"/>
      <c r="C1932" s="720">
        <f>IF(D1907="","-",+C1931+1)</f>
        <v>2033</v>
      </c>
      <c r="D1932" s="673">
        <f t="shared" si="186"/>
        <v>5023.6770643939335</v>
      </c>
      <c r="E1932" s="726">
        <f t="shared" si="187"/>
        <v>196.36522727272725</v>
      </c>
      <c r="F1932" s="726">
        <f t="shared" si="180"/>
        <v>4827.3118371212058</v>
      </c>
      <c r="G1932" s="673">
        <f t="shared" si="181"/>
        <v>4925.4944507575692</v>
      </c>
      <c r="H1932" s="721">
        <f>+J1908*G1932+E1932</f>
        <v>951.99783386037006</v>
      </c>
      <c r="I1932" s="727">
        <f>+J1909*G1932+E1932</f>
        <v>951.99783386037006</v>
      </c>
      <c r="J1932" s="724">
        <f t="shared" si="182"/>
        <v>0</v>
      </c>
      <c r="K1932" s="724"/>
      <c r="L1932" s="728"/>
      <c r="M1932" s="724">
        <f t="shared" si="183"/>
        <v>0</v>
      </c>
      <c r="N1932" s="728"/>
      <c r="O1932" s="724">
        <f t="shared" si="184"/>
        <v>0</v>
      </c>
      <c r="P1932" s="724">
        <f t="shared" si="185"/>
        <v>0</v>
      </c>
      <c r="Q1932" s="674"/>
    </row>
    <row r="1933" spans="2:17">
      <c r="B1933" s="330"/>
      <c r="C1933" s="720">
        <f>IF(D1907="","-",+C1932+1)</f>
        <v>2034</v>
      </c>
      <c r="D1933" s="673">
        <f t="shared" si="186"/>
        <v>4827.3118371212058</v>
      </c>
      <c r="E1933" s="726">
        <f t="shared" si="187"/>
        <v>196.36522727272725</v>
      </c>
      <c r="F1933" s="726">
        <f t="shared" si="180"/>
        <v>4630.9466098484781</v>
      </c>
      <c r="G1933" s="673">
        <f t="shared" si="181"/>
        <v>4729.1292234848424</v>
      </c>
      <c r="H1933" s="721">
        <f>+J1908*G1933+E1933</f>
        <v>921.87294589009866</v>
      </c>
      <c r="I1933" s="727">
        <f>+J1909*G1933+E1933</f>
        <v>921.87294589009866</v>
      </c>
      <c r="J1933" s="724">
        <f t="shared" si="182"/>
        <v>0</v>
      </c>
      <c r="K1933" s="724"/>
      <c r="L1933" s="728"/>
      <c r="M1933" s="724">
        <f t="shared" si="183"/>
        <v>0</v>
      </c>
      <c r="N1933" s="728"/>
      <c r="O1933" s="724">
        <f t="shared" si="184"/>
        <v>0</v>
      </c>
      <c r="P1933" s="724">
        <f t="shared" si="185"/>
        <v>0</v>
      </c>
      <c r="Q1933" s="674"/>
    </row>
    <row r="1934" spans="2:17">
      <c r="B1934" s="330"/>
      <c r="C1934" s="720">
        <f>IF(D1907="","-",+C1933+1)</f>
        <v>2035</v>
      </c>
      <c r="D1934" s="673">
        <f t="shared" si="186"/>
        <v>4630.9466098484781</v>
      </c>
      <c r="E1934" s="726">
        <f t="shared" si="187"/>
        <v>196.36522727272725</v>
      </c>
      <c r="F1934" s="726">
        <f t="shared" si="180"/>
        <v>4434.5813825757505</v>
      </c>
      <c r="G1934" s="673">
        <f t="shared" si="181"/>
        <v>4532.7639962121139</v>
      </c>
      <c r="H1934" s="721">
        <f>+J1908*G1934+E1934</f>
        <v>891.74805791982692</v>
      </c>
      <c r="I1934" s="727">
        <f>+J1909*G1934+E1934</f>
        <v>891.74805791982692</v>
      </c>
      <c r="J1934" s="724">
        <f t="shared" si="182"/>
        <v>0</v>
      </c>
      <c r="K1934" s="724"/>
      <c r="L1934" s="728"/>
      <c r="M1934" s="724">
        <f t="shared" si="183"/>
        <v>0</v>
      </c>
      <c r="N1934" s="728"/>
      <c r="O1934" s="724">
        <f t="shared" si="184"/>
        <v>0</v>
      </c>
      <c r="P1934" s="724">
        <f t="shared" si="185"/>
        <v>0</v>
      </c>
      <c r="Q1934" s="674"/>
    </row>
    <row r="1935" spans="2:17">
      <c r="B1935" s="330"/>
      <c r="C1935" s="720">
        <f>IF(D1907="","-",+C1934+1)</f>
        <v>2036</v>
      </c>
      <c r="D1935" s="673">
        <f t="shared" si="186"/>
        <v>4434.5813825757505</v>
      </c>
      <c r="E1935" s="726">
        <f t="shared" si="187"/>
        <v>196.36522727272725</v>
      </c>
      <c r="F1935" s="726">
        <f t="shared" si="180"/>
        <v>4238.2161553030228</v>
      </c>
      <c r="G1935" s="673">
        <f t="shared" si="181"/>
        <v>4336.3987689393871</v>
      </c>
      <c r="H1935" s="721">
        <f>+J1908*G1935+E1935</f>
        <v>861.62316994955552</v>
      </c>
      <c r="I1935" s="727">
        <f>+J1909*G1935+E1935</f>
        <v>861.62316994955552</v>
      </c>
      <c r="J1935" s="724">
        <f t="shared" si="182"/>
        <v>0</v>
      </c>
      <c r="K1935" s="724"/>
      <c r="L1935" s="728"/>
      <c r="M1935" s="724">
        <f t="shared" si="183"/>
        <v>0</v>
      </c>
      <c r="N1935" s="728"/>
      <c r="O1935" s="724">
        <f t="shared" si="184"/>
        <v>0</v>
      </c>
      <c r="P1935" s="724">
        <f t="shared" si="185"/>
        <v>0</v>
      </c>
      <c r="Q1935" s="674"/>
    </row>
    <row r="1936" spans="2:17">
      <c r="B1936" s="330"/>
      <c r="C1936" s="720">
        <f>IF(D1907="","-",+C1935+1)</f>
        <v>2037</v>
      </c>
      <c r="D1936" s="673">
        <f t="shared" si="186"/>
        <v>4238.2161553030228</v>
      </c>
      <c r="E1936" s="726">
        <f t="shared" si="187"/>
        <v>196.36522727272725</v>
      </c>
      <c r="F1936" s="726">
        <f t="shared" si="180"/>
        <v>4041.8509280302956</v>
      </c>
      <c r="G1936" s="673">
        <f t="shared" si="181"/>
        <v>4140.0335416666594</v>
      </c>
      <c r="H1936" s="721">
        <f>+J1908*G1936+E1936</f>
        <v>831.49828197928389</v>
      </c>
      <c r="I1936" s="727">
        <f>+J1909*G1936+E1936</f>
        <v>831.49828197928389</v>
      </c>
      <c r="J1936" s="724">
        <f t="shared" si="182"/>
        <v>0</v>
      </c>
      <c r="K1936" s="724"/>
      <c r="L1936" s="728"/>
      <c r="M1936" s="724">
        <f t="shared" si="183"/>
        <v>0</v>
      </c>
      <c r="N1936" s="728"/>
      <c r="O1936" s="724">
        <f t="shared" si="184"/>
        <v>0</v>
      </c>
      <c r="P1936" s="724">
        <f t="shared" si="185"/>
        <v>0</v>
      </c>
      <c r="Q1936" s="674"/>
    </row>
    <row r="1937" spans="2:17">
      <c r="B1937" s="330"/>
      <c r="C1937" s="720">
        <f>IF(D1907="","-",+C1936+1)</f>
        <v>2038</v>
      </c>
      <c r="D1937" s="673">
        <f t="shared" si="186"/>
        <v>4041.8509280302956</v>
      </c>
      <c r="E1937" s="726">
        <f t="shared" si="187"/>
        <v>196.36522727272725</v>
      </c>
      <c r="F1937" s="726">
        <f t="shared" si="180"/>
        <v>3845.4857007575683</v>
      </c>
      <c r="G1937" s="673">
        <f t="shared" si="181"/>
        <v>3943.6683143939317</v>
      </c>
      <c r="H1937" s="721">
        <f>+J1908*G1937+E1937</f>
        <v>801.37339400901237</v>
      </c>
      <c r="I1937" s="727">
        <f>+J1909*G1937+E1937</f>
        <v>801.37339400901237</v>
      </c>
      <c r="J1937" s="724">
        <f t="shared" si="182"/>
        <v>0</v>
      </c>
      <c r="K1937" s="724"/>
      <c r="L1937" s="728"/>
      <c r="M1937" s="724">
        <f t="shared" si="183"/>
        <v>0</v>
      </c>
      <c r="N1937" s="728"/>
      <c r="O1937" s="724">
        <f t="shared" si="184"/>
        <v>0</v>
      </c>
      <c r="P1937" s="724">
        <f t="shared" si="185"/>
        <v>0</v>
      </c>
      <c r="Q1937" s="674"/>
    </row>
    <row r="1938" spans="2:17">
      <c r="B1938" s="330"/>
      <c r="C1938" s="720">
        <f>IF(D1907="","-",+C1937+1)</f>
        <v>2039</v>
      </c>
      <c r="D1938" s="673">
        <f t="shared" si="186"/>
        <v>3845.4857007575683</v>
      </c>
      <c r="E1938" s="726">
        <f t="shared" si="187"/>
        <v>196.36522727272725</v>
      </c>
      <c r="F1938" s="726">
        <f t="shared" si="180"/>
        <v>3649.1204734848411</v>
      </c>
      <c r="G1938" s="673">
        <f t="shared" si="181"/>
        <v>3747.303087121205</v>
      </c>
      <c r="H1938" s="721">
        <f>+J1908*G1938+E1938</f>
        <v>771.24850603874097</v>
      </c>
      <c r="I1938" s="727">
        <f>+J1909*G1938+E1938</f>
        <v>771.24850603874097</v>
      </c>
      <c r="J1938" s="724">
        <f t="shared" si="182"/>
        <v>0</v>
      </c>
      <c r="K1938" s="724"/>
      <c r="L1938" s="728"/>
      <c r="M1938" s="724">
        <f t="shared" si="183"/>
        <v>0</v>
      </c>
      <c r="N1938" s="728"/>
      <c r="O1938" s="724">
        <f t="shared" si="184"/>
        <v>0</v>
      </c>
      <c r="P1938" s="724">
        <f t="shared" si="185"/>
        <v>0</v>
      </c>
      <c r="Q1938" s="674"/>
    </row>
    <row r="1939" spans="2:17">
      <c r="B1939" s="330"/>
      <c r="C1939" s="720">
        <f>IF(D1907="","-",+C1938+1)</f>
        <v>2040</v>
      </c>
      <c r="D1939" s="673">
        <f t="shared" si="186"/>
        <v>3649.1204734848411</v>
      </c>
      <c r="E1939" s="726">
        <f t="shared" si="187"/>
        <v>196.36522727272725</v>
      </c>
      <c r="F1939" s="726">
        <f t="shared" si="180"/>
        <v>3452.7552462121139</v>
      </c>
      <c r="G1939" s="673">
        <f t="shared" si="181"/>
        <v>3550.9378598484773</v>
      </c>
      <c r="H1939" s="721">
        <f>+J1908*G1939+E1939</f>
        <v>741.12361806846934</v>
      </c>
      <c r="I1939" s="727">
        <f>+J1909*G1939+E1939</f>
        <v>741.12361806846934</v>
      </c>
      <c r="J1939" s="724">
        <f t="shared" si="182"/>
        <v>0</v>
      </c>
      <c r="K1939" s="724"/>
      <c r="L1939" s="728"/>
      <c r="M1939" s="724">
        <f t="shared" si="183"/>
        <v>0</v>
      </c>
      <c r="N1939" s="728"/>
      <c r="O1939" s="724">
        <f t="shared" si="184"/>
        <v>0</v>
      </c>
      <c r="P1939" s="724">
        <f t="shared" si="185"/>
        <v>0</v>
      </c>
      <c r="Q1939" s="674"/>
    </row>
    <row r="1940" spans="2:17">
      <c r="B1940" s="330"/>
      <c r="C1940" s="720">
        <f>IF(D1907="","-",+C1939+1)</f>
        <v>2041</v>
      </c>
      <c r="D1940" s="673">
        <f t="shared" si="186"/>
        <v>3452.7552462121139</v>
      </c>
      <c r="E1940" s="726">
        <f t="shared" si="187"/>
        <v>196.36522727272725</v>
      </c>
      <c r="F1940" s="726">
        <f t="shared" si="180"/>
        <v>3256.3900189393867</v>
      </c>
      <c r="G1940" s="673">
        <f t="shared" si="181"/>
        <v>3354.5726325757505</v>
      </c>
      <c r="H1940" s="721">
        <f>+J1908*G1940+E1940</f>
        <v>710.99873009819794</v>
      </c>
      <c r="I1940" s="727">
        <f>+J1909*G1940+E1940</f>
        <v>710.99873009819794</v>
      </c>
      <c r="J1940" s="724">
        <f t="shared" si="182"/>
        <v>0</v>
      </c>
      <c r="K1940" s="724"/>
      <c r="L1940" s="728"/>
      <c r="M1940" s="724">
        <f t="shared" si="183"/>
        <v>0</v>
      </c>
      <c r="N1940" s="728"/>
      <c r="O1940" s="724">
        <f t="shared" si="184"/>
        <v>0</v>
      </c>
      <c r="P1940" s="724">
        <f t="shared" si="185"/>
        <v>0</v>
      </c>
      <c r="Q1940" s="674"/>
    </row>
    <row r="1941" spans="2:17">
      <c r="B1941" s="330"/>
      <c r="C1941" s="720">
        <f>IF(D1907="","-",+C1940+1)</f>
        <v>2042</v>
      </c>
      <c r="D1941" s="673">
        <f t="shared" si="186"/>
        <v>3256.3900189393867</v>
      </c>
      <c r="E1941" s="726">
        <f t="shared" si="187"/>
        <v>196.36522727272725</v>
      </c>
      <c r="F1941" s="726">
        <f t="shared" si="180"/>
        <v>3060.0247916666594</v>
      </c>
      <c r="G1941" s="673">
        <f t="shared" si="181"/>
        <v>3158.2074053030228</v>
      </c>
      <c r="H1941" s="721">
        <f>+J1908*G1941+E1941</f>
        <v>680.87384212792631</v>
      </c>
      <c r="I1941" s="727">
        <f>+J1909*G1941+E1941</f>
        <v>680.87384212792631</v>
      </c>
      <c r="J1941" s="724">
        <f t="shared" si="182"/>
        <v>0</v>
      </c>
      <c r="K1941" s="724"/>
      <c r="L1941" s="728"/>
      <c r="M1941" s="724">
        <f t="shared" si="183"/>
        <v>0</v>
      </c>
      <c r="N1941" s="728"/>
      <c r="O1941" s="724">
        <f t="shared" si="184"/>
        <v>0</v>
      </c>
      <c r="P1941" s="724">
        <f t="shared" si="185"/>
        <v>0</v>
      </c>
      <c r="Q1941" s="674"/>
    </row>
    <row r="1942" spans="2:17">
      <c r="B1942" s="330"/>
      <c r="C1942" s="720">
        <f>IF(D1907="","-",+C1941+1)</f>
        <v>2043</v>
      </c>
      <c r="D1942" s="673">
        <f t="shared" si="186"/>
        <v>3060.0247916666594</v>
      </c>
      <c r="E1942" s="726">
        <f t="shared" si="187"/>
        <v>196.36522727272725</v>
      </c>
      <c r="F1942" s="726">
        <f t="shared" si="180"/>
        <v>2863.6595643939322</v>
      </c>
      <c r="G1942" s="673">
        <f t="shared" si="181"/>
        <v>2961.8421780302961</v>
      </c>
      <c r="H1942" s="721">
        <f>+J1908*G1942+E1942</f>
        <v>650.74895415765491</v>
      </c>
      <c r="I1942" s="727">
        <f>+J1909*G1942+E1942</f>
        <v>650.74895415765491</v>
      </c>
      <c r="J1942" s="724">
        <f t="shared" si="182"/>
        <v>0</v>
      </c>
      <c r="K1942" s="724"/>
      <c r="L1942" s="728"/>
      <c r="M1942" s="724">
        <f t="shared" si="183"/>
        <v>0</v>
      </c>
      <c r="N1942" s="728"/>
      <c r="O1942" s="724">
        <f t="shared" si="184"/>
        <v>0</v>
      </c>
      <c r="P1942" s="724">
        <f t="shared" si="185"/>
        <v>0</v>
      </c>
      <c r="Q1942" s="674"/>
    </row>
    <row r="1943" spans="2:17">
      <c r="B1943" s="330"/>
      <c r="C1943" s="720">
        <f>IF(D1907="","-",+C1942+1)</f>
        <v>2044</v>
      </c>
      <c r="D1943" s="673">
        <f t="shared" si="186"/>
        <v>2863.6595643939322</v>
      </c>
      <c r="E1943" s="726">
        <f t="shared" si="187"/>
        <v>196.36522727272725</v>
      </c>
      <c r="F1943" s="726">
        <f t="shared" si="180"/>
        <v>2667.294337121205</v>
      </c>
      <c r="G1943" s="673">
        <f t="shared" si="181"/>
        <v>2765.4769507575684</v>
      </c>
      <c r="H1943" s="721">
        <f>+J1908*G1943+E1943</f>
        <v>620.62406618738328</v>
      </c>
      <c r="I1943" s="727">
        <f>+J1909*G1943+E1943</f>
        <v>620.62406618738328</v>
      </c>
      <c r="J1943" s="724">
        <f t="shared" si="182"/>
        <v>0</v>
      </c>
      <c r="K1943" s="724"/>
      <c r="L1943" s="728"/>
      <c r="M1943" s="724">
        <f t="shared" si="183"/>
        <v>0</v>
      </c>
      <c r="N1943" s="728"/>
      <c r="O1943" s="724">
        <f t="shared" si="184"/>
        <v>0</v>
      </c>
      <c r="P1943" s="724">
        <f t="shared" si="185"/>
        <v>0</v>
      </c>
      <c r="Q1943" s="674"/>
    </row>
    <row r="1944" spans="2:17">
      <c r="B1944" s="330"/>
      <c r="C1944" s="720">
        <f>IF(D1907="","-",+C1943+1)</f>
        <v>2045</v>
      </c>
      <c r="D1944" s="673">
        <f t="shared" si="186"/>
        <v>2667.294337121205</v>
      </c>
      <c r="E1944" s="726">
        <f t="shared" si="187"/>
        <v>196.36522727272725</v>
      </c>
      <c r="F1944" s="726">
        <f t="shared" si="180"/>
        <v>2470.9291098484778</v>
      </c>
      <c r="G1944" s="673">
        <f t="shared" si="181"/>
        <v>2569.1117234848416</v>
      </c>
      <c r="H1944" s="721">
        <f>+J1908*G1944+E1944</f>
        <v>590.49917821711188</v>
      </c>
      <c r="I1944" s="727">
        <f>+J1909*G1944+E1944</f>
        <v>590.49917821711188</v>
      </c>
      <c r="J1944" s="724">
        <f t="shared" si="182"/>
        <v>0</v>
      </c>
      <c r="K1944" s="724"/>
      <c r="L1944" s="728"/>
      <c r="M1944" s="724">
        <f t="shared" si="183"/>
        <v>0</v>
      </c>
      <c r="N1944" s="728"/>
      <c r="O1944" s="724">
        <f t="shared" si="184"/>
        <v>0</v>
      </c>
      <c r="P1944" s="724">
        <f t="shared" si="185"/>
        <v>0</v>
      </c>
      <c r="Q1944" s="674"/>
    </row>
    <row r="1945" spans="2:17">
      <c r="B1945" s="330"/>
      <c r="C1945" s="720">
        <f>IF(D1907="","-",+C1944+1)</f>
        <v>2046</v>
      </c>
      <c r="D1945" s="673">
        <f t="shared" si="186"/>
        <v>2470.9291098484778</v>
      </c>
      <c r="E1945" s="726">
        <f t="shared" si="187"/>
        <v>196.36522727272725</v>
      </c>
      <c r="F1945" s="726">
        <f t="shared" si="180"/>
        <v>2274.5638825757505</v>
      </c>
      <c r="G1945" s="673">
        <f t="shared" ref="G1945:G1972" si="188">+(D1945+F1945)/2</f>
        <v>2372.7464962121139</v>
      </c>
      <c r="H1945" s="721">
        <f>+J1908*G1945+E1945</f>
        <v>560.37429024684025</v>
      </c>
      <c r="I1945" s="727">
        <f>+J1909*G1945+E1945</f>
        <v>560.37429024684025</v>
      </c>
      <c r="J1945" s="724">
        <f t="shared" ref="J1945:J1972" si="189">+I1945-H1945</f>
        <v>0</v>
      </c>
      <c r="K1945" s="724"/>
      <c r="L1945" s="728"/>
      <c r="M1945" s="724">
        <f t="shared" ref="M1945:M1972" si="190">IF(L1945&lt;&gt;0,+H1945-L1945,0)</f>
        <v>0</v>
      </c>
      <c r="N1945" s="728"/>
      <c r="O1945" s="724">
        <f t="shared" ref="O1945:O1972" si="191">IF(N1945&lt;&gt;0,+I1945-N1945,0)</f>
        <v>0</v>
      </c>
      <c r="P1945" s="724">
        <f t="shared" si="185"/>
        <v>0</v>
      </c>
      <c r="Q1945" s="674"/>
    </row>
    <row r="1946" spans="2:17">
      <c r="B1946" s="330"/>
      <c r="C1946" s="720">
        <f>IF(D1907="","-",+C1945+1)</f>
        <v>2047</v>
      </c>
      <c r="D1946" s="673">
        <f t="shared" si="186"/>
        <v>2274.5638825757505</v>
      </c>
      <c r="E1946" s="726">
        <f t="shared" si="187"/>
        <v>196.36522727272725</v>
      </c>
      <c r="F1946" s="726">
        <f t="shared" si="180"/>
        <v>2078.1986553030233</v>
      </c>
      <c r="G1946" s="673">
        <f t="shared" si="188"/>
        <v>2176.3812689393872</v>
      </c>
      <c r="H1946" s="721">
        <f>+J1908*G1946+E1946</f>
        <v>530.24940227656884</v>
      </c>
      <c r="I1946" s="727">
        <f>+J1909*G1946+E1946</f>
        <v>530.24940227656884</v>
      </c>
      <c r="J1946" s="724">
        <f t="shared" si="189"/>
        <v>0</v>
      </c>
      <c r="K1946" s="724"/>
      <c r="L1946" s="728"/>
      <c r="M1946" s="724">
        <f t="shared" si="190"/>
        <v>0</v>
      </c>
      <c r="N1946" s="728"/>
      <c r="O1946" s="724">
        <f t="shared" si="191"/>
        <v>0</v>
      </c>
      <c r="P1946" s="724">
        <f t="shared" si="185"/>
        <v>0</v>
      </c>
      <c r="Q1946" s="674"/>
    </row>
    <row r="1947" spans="2:17">
      <c r="B1947" s="330"/>
      <c r="C1947" s="720">
        <f>IF(D1907="","-",+C1946+1)</f>
        <v>2048</v>
      </c>
      <c r="D1947" s="673">
        <f t="shared" si="186"/>
        <v>2078.1986553030233</v>
      </c>
      <c r="E1947" s="726">
        <f t="shared" si="187"/>
        <v>196.36522727272725</v>
      </c>
      <c r="F1947" s="726">
        <f t="shared" si="180"/>
        <v>1881.8334280302961</v>
      </c>
      <c r="G1947" s="673">
        <f t="shared" si="188"/>
        <v>1980.0160416666597</v>
      </c>
      <c r="H1947" s="721">
        <f>+J1908*G1947+E1947</f>
        <v>500.12451430629733</v>
      </c>
      <c r="I1947" s="727">
        <f>+J1909*G1947+E1947</f>
        <v>500.12451430629733</v>
      </c>
      <c r="J1947" s="724">
        <f t="shared" si="189"/>
        <v>0</v>
      </c>
      <c r="K1947" s="724"/>
      <c r="L1947" s="728"/>
      <c r="M1947" s="724">
        <f t="shared" si="190"/>
        <v>0</v>
      </c>
      <c r="N1947" s="728"/>
      <c r="O1947" s="724">
        <f t="shared" si="191"/>
        <v>0</v>
      </c>
      <c r="P1947" s="724">
        <f t="shared" si="185"/>
        <v>0</v>
      </c>
      <c r="Q1947" s="674"/>
    </row>
    <row r="1948" spans="2:17">
      <c r="B1948" s="330"/>
      <c r="C1948" s="720">
        <f>IF(D1907="","-",+C1947+1)</f>
        <v>2049</v>
      </c>
      <c r="D1948" s="673">
        <f t="shared" si="186"/>
        <v>1881.8334280302961</v>
      </c>
      <c r="E1948" s="726">
        <f t="shared" si="187"/>
        <v>196.36522727272725</v>
      </c>
      <c r="F1948" s="726">
        <f t="shared" si="180"/>
        <v>1685.4682007575689</v>
      </c>
      <c r="G1948" s="673">
        <f t="shared" si="188"/>
        <v>1783.6508143939325</v>
      </c>
      <c r="H1948" s="721">
        <f>+J1908*G1948+E1948</f>
        <v>469.99962633602581</v>
      </c>
      <c r="I1948" s="727">
        <f>+J1909*G1948+E1948</f>
        <v>469.99962633602581</v>
      </c>
      <c r="J1948" s="724">
        <f t="shared" si="189"/>
        <v>0</v>
      </c>
      <c r="K1948" s="724"/>
      <c r="L1948" s="728"/>
      <c r="M1948" s="724">
        <f t="shared" si="190"/>
        <v>0</v>
      </c>
      <c r="N1948" s="728"/>
      <c r="O1948" s="724">
        <f t="shared" si="191"/>
        <v>0</v>
      </c>
      <c r="P1948" s="724">
        <f t="shared" si="185"/>
        <v>0</v>
      </c>
      <c r="Q1948" s="674"/>
    </row>
    <row r="1949" spans="2:17">
      <c r="B1949" s="330"/>
      <c r="C1949" s="720">
        <f>IF(D1907="","-",+C1948+1)</f>
        <v>2050</v>
      </c>
      <c r="D1949" s="673">
        <f t="shared" si="186"/>
        <v>1685.4682007575689</v>
      </c>
      <c r="E1949" s="726">
        <f t="shared" si="187"/>
        <v>196.36522727272725</v>
      </c>
      <c r="F1949" s="726">
        <f t="shared" si="180"/>
        <v>1489.1029734848416</v>
      </c>
      <c r="G1949" s="673">
        <f t="shared" si="188"/>
        <v>1587.2855871212053</v>
      </c>
      <c r="H1949" s="721">
        <f>+J1908*G1949+E1949</f>
        <v>439.8747383657543</v>
      </c>
      <c r="I1949" s="727">
        <f>+J1909*G1949+E1949</f>
        <v>439.8747383657543</v>
      </c>
      <c r="J1949" s="724">
        <f t="shared" si="189"/>
        <v>0</v>
      </c>
      <c r="K1949" s="724"/>
      <c r="L1949" s="728"/>
      <c r="M1949" s="724">
        <f t="shared" si="190"/>
        <v>0</v>
      </c>
      <c r="N1949" s="728"/>
      <c r="O1949" s="724">
        <f t="shared" si="191"/>
        <v>0</v>
      </c>
      <c r="P1949" s="724">
        <f t="shared" si="185"/>
        <v>0</v>
      </c>
      <c r="Q1949" s="674"/>
    </row>
    <row r="1950" spans="2:17">
      <c r="B1950" s="330"/>
      <c r="C1950" s="720">
        <f>IF(D1907="","-",+C1949+1)</f>
        <v>2051</v>
      </c>
      <c r="D1950" s="673">
        <f t="shared" si="186"/>
        <v>1489.1029734848416</v>
      </c>
      <c r="E1950" s="726">
        <f t="shared" si="187"/>
        <v>196.36522727272725</v>
      </c>
      <c r="F1950" s="726">
        <f t="shared" si="180"/>
        <v>1292.7377462121144</v>
      </c>
      <c r="G1950" s="673">
        <f t="shared" si="188"/>
        <v>1390.920359848478</v>
      </c>
      <c r="H1950" s="721">
        <f>+J1908*G1950+E1950</f>
        <v>409.74985039548278</v>
      </c>
      <c r="I1950" s="727">
        <f>+J1909*G1950+E1950</f>
        <v>409.74985039548278</v>
      </c>
      <c r="J1950" s="724">
        <f t="shared" si="189"/>
        <v>0</v>
      </c>
      <c r="K1950" s="724"/>
      <c r="L1950" s="728"/>
      <c r="M1950" s="724">
        <f t="shared" si="190"/>
        <v>0</v>
      </c>
      <c r="N1950" s="728"/>
      <c r="O1950" s="724">
        <f t="shared" si="191"/>
        <v>0</v>
      </c>
      <c r="P1950" s="724">
        <f t="shared" si="185"/>
        <v>0</v>
      </c>
      <c r="Q1950" s="674"/>
    </row>
    <row r="1951" spans="2:17">
      <c r="B1951" s="330"/>
      <c r="C1951" s="720">
        <f>IF(D1907="","-",+C1950+1)</f>
        <v>2052</v>
      </c>
      <c r="D1951" s="673">
        <f t="shared" si="186"/>
        <v>1292.7377462121144</v>
      </c>
      <c r="E1951" s="726">
        <f t="shared" si="187"/>
        <v>196.36522727272725</v>
      </c>
      <c r="F1951" s="726">
        <f t="shared" si="180"/>
        <v>1096.3725189393872</v>
      </c>
      <c r="G1951" s="673">
        <f t="shared" si="188"/>
        <v>1194.5551325757508</v>
      </c>
      <c r="H1951" s="721">
        <f>+J1908*G1951+E1951</f>
        <v>379.62496242521127</v>
      </c>
      <c r="I1951" s="727">
        <f>+J1909*G1951+E1951</f>
        <v>379.62496242521127</v>
      </c>
      <c r="J1951" s="724">
        <f t="shared" si="189"/>
        <v>0</v>
      </c>
      <c r="K1951" s="724"/>
      <c r="L1951" s="728"/>
      <c r="M1951" s="724">
        <f t="shared" si="190"/>
        <v>0</v>
      </c>
      <c r="N1951" s="728"/>
      <c r="O1951" s="724">
        <f t="shared" si="191"/>
        <v>0</v>
      </c>
      <c r="P1951" s="724">
        <f t="shared" si="185"/>
        <v>0</v>
      </c>
      <c r="Q1951" s="674"/>
    </row>
    <row r="1952" spans="2:17">
      <c r="B1952" s="330"/>
      <c r="C1952" s="720">
        <f>IF(D1907="","-",+C1951+1)</f>
        <v>2053</v>
      </c>
      <c r="D1952" s="673">
        <f t="shared" si="186"/>
        <v>1096.3725189393872</v>
      </c>
      <c r="E1952" s="726">
        <f t="shared" si="187"/>
        <v>196.36522727272725</v>
      </c>
      <c r="F1952" s="726">
        <f t="shared" si="180"/>
        <v>900.00729166665997</v>
      </c>
      <c r="G1952" s="673">
        <f t="shared" si="188"/>
        <v>998.18990530302358</v>
      </c>
      <c r="H1952" s="721">
        <f>+J1908*G1952+E1952</f>
        <v>349.50007445493975</v>
      </c>
      <c r="I1952" s="727">
        <f>+J1909*G1952+E1952</f>
        <v>349.50007445493975</v>
      </c>
      <c r="J1952" s="724">
        <f t="shared" si="189"/>
        <v>0</v>
      </c>
      <c r="K1952" s="724"/>
      <c r="L1952" s="728"/>
      <c r="M1952" s="724">
        <f t="shared" si="190"/>
        <v>0</v>
      </c>
      <c r="N1952" s="728"/>
      <c r="O1952" s="724">
        <f t="shared" si="191"/>
        <v>0</v>
      </c>
      <c r="P1952" s="724">
        <f t="shared" si="185"/>
        <v>0</v>
      </c>
      <c r="Q1952" s="674"/>
    </row>
    <row r="1953" spans="2:17">
      <c r="B1953" s="330"/>
      <c r="C1953" s="720">
        <f>IF(D1907="","-",+C1952+1)</f>
        <v>2054</v>
      </c>
      <c r="D1953" s="673">
        <f t="shared" si="186"/>
        <v>900.00729166665997</v>
      </c>
      <c r="E1953" s="726">
        <f t="shared" si="187"/>
        <v>196.36522727272725</v>
      </c>
      <c r="F1953" s="726">
        <f t="shared" si="180"/>
        <v>703.64206439393274</v>
      </c>
      <c r="G1953" s="673">
        <f t="shared" si="188"/>
        <v>801.82467803029635</v>
      </c>
      <c r="H1953" s="721">
        <f>+J1908*G1953+E1953</f>
        <v>319.37518648466823</v>
      </c>
      <c r="I1953" s="727">
        <f>+J1909*G1953+E1953</f>
        <v>319.37518648466823</v>
      </c>
      <c r="J1953" s="724">
        <f t="shared" si="189"/>
        <v>0</v>
      </c>
      <c r="K1953" s="724"/>
      <c r="L1953" s="728"/>
      <c r="M1953" s="724">
        <f t="shared" si="190"/>
        <v>0</v>
      </c>
      <c r="N1953" s="728"/>
      <c r="O1953" s="724">
        <f t="shared" si="191"/>
        <v>0</v>
      </c>
      <c r="P1953" s="724">
        <f t="shared" si="185"/>
        <v>0</v>
      </c>
      <c r="Q1953" s="674"/>
    </row>
    <row r="1954" spans="2:17">
      <c r="B1954" s="330"/>
      <c r="C1954" s="720">
        <f>IF(D1907="","-",+C1953+1)</f>
        <v>2055</v>
      </c>
      <c r="D1954" s="673">
        <f t="shared" si="186"/>
        <v>703.64206439393274</v>
      </c>
      <c r="E1954" s="726">
        <f t="shared" si="187"/>
        <v>196.36522727272725</v>
      </c>
      <c r="F1954" s="726">
        <f t="shared" si="180"/>
        <v>507.27683712120552</v>
      </c>
      <c r="G1954" s="673">
        <f t="shared" si="188"/>
        <v>605.45945075756913</v>
      </c>
      <c r="H1954" s="721">
        <f>+J1908*G1954+E1954</f>
        <v>289.25029851439672</v>
      </c>
      <c r="I1954" s="727">
        <f>+J1909*G1954+E1954</f>
        <v>289.25029851439672</v>
      </c>
      <c r="J1954" s="724">
        <f t="shared" si="189"/>
        <v>0</v>
      </c>
      <c r="K1954" s="724"/>
      <c r="L1954" s="728"/>
      <c r="M1954" s="724">
        <f t="shared" si="190"/>
        <v>0</v>
      </c>
      <c r="N1954" s="728"/>
      <c r="O1954" s="724">
        <f t="shared" si="191"/>
        <v>0</v>
      </c>
      <c r="P1954" s="724">
        <f t="shared" si="185"/>
        <v>0</v>
      </c>
      <c r="Q1954" s="674"/>
    </row>
    <row r="1955" spans="2:17">
      <c r="B1955" s="330"/>
      <c r="C1955" s="720">
        <f>IF(D1907="","-",+C1954+1)</f>
        <v>2056</v>
      </c>
      <c r="D1955" s="673">
        <f t="shared" si="186"/>
        <v>507.27683712120552</v>
      </c>
      <c r="E1955" s="726">
        <f t="shared" si="187"/>
        <v>196.36522727272725</v>
      </c>
      <c r="F1955" s="726">
        <f t="shared" si="180"/>
        <v>310.91160984847829</v>
      </c>
      <c r="G1955" s="673">
        <f t="shared" si="188"/>
        <v>409.0942234848419</v>
      </c>
      <c r="H1955" s="721">
        <f>+J1908*G1955+E1955</f>
        <v>259.12541054412526</v>
      </c>
      <c r="I1955" s="727">
        <f>+J1909*G1955+E1955</f>
        <v>259.12541054412526</v>
      </c>
      <c r="J1955" s="724">
        <f t="shared" si="189"/>
        <v>0</v>
      </c>
      <c r="K1955" s="724"/>
      <c r="L1955" s="728"/>
      <c r="M1955" s="724">
        <f t="shared" si="190"/>
        <v>0</v>
      </c>
      <c r="N1955" s="728"/>
      <c r="O1955" s="724">
        <f t="shared" si="191"/>
        <v>0</v>
      </c>
      <c r="P1955" s="724">
        <f t="shared" si="185"/>
        <v>0</v>
      </c>
      <c r="Q1955" s="674"/>
    </row>
    <row r="1956" spans="2:17">
      <c r="B1956" s="330"/>
      <c r="C1956" s="720">
        <f>IF(D1907="","-",+C1955+1)</f>
        <v>2057</v>
      </c>
      <c r="D1956" s="673">
        <f t="shared" si="186"/>
        <v>310.91160984847829</v>
      </c>
      <c r="E1956" s="726">
        <f t="shared" si="187"/>
        <v>196.36522727272725</v>
      </c>
      <c r="F1956" s="726">
        <f t="shared" si="180"/>
        <v>114.54638257575104</v>
      </c>
      <c r="G1956" s="673">
        <f t="shared" si="188"/>
        <v>212.72899621211468</v>
      </c>
      <c r="H1956" s="721">
        <f>+J1908*G1956+E1956</f>
        <v>229.00052257385374</v>
      </c>
      <c r="I1956" s="727">
        <f>+J1909*G1956+E1956</f>
        <v>229.00052257385374</v>
      </c>
      <c r="J1956" s="724">
        <f t="shared" si="189"/>
        <v>0</v>
      </c>
      <c r="K1956" s="724"/>
      <c r="L1956" s="728"/>
      <c r="M1956" s="724">
        <f t="shared" si="190"/>
        <v>0</v>
      </c>
      <c r="N1956" s="728"/>
      <c r="O1956" s="724">
        <f t="shared" si="191"/>
        <v>0</v>
      </c>
      <c r="P1956" s="724">
        <f t="shared" si="185"/>
        <v>0</v>
      </c>
      <c r="Q1956" s="674"/>
    </row>
    <row r="1957" spans="2:17">
      <c r="B1957" s="330"/>
      <c r="C1957" s="720">
        <f>IF(D1907="","-",+C1956+1)</f>
        <v>2058</v>
      </c>
      <c r="D1957" s="673">
        <f t="shared" si="186"/>
        <v>114.54638257575104</v>
      </c>
      <c r="E1957" s="726">
        <f t="shared" si="187"/>
        <v>114.54638257575104</v>
      </c>
      <c r="F1957" s="726">
        <f t="shared" si="180"/>
        <v>0</v>
      </c>
      <c r="G1957" s="673">
        <f t="shared" si="188"/>
        <v>57.27319128787552</v>
      </c>
      <c r="H1957" s="721">
        <f>+J1908*G1957+E1957</f>
        <v>123.33280823374639</v>
      </c>
      <c r="I1957" s="727">
        <f>+J1909*G1957+E1957</f>
        <v>123.33280823374639</v>
      </c>
      <c r="J1957" s="724">
        <f t="shared" si="189"/>
        <v>0</v>
      </c>
      <c r="K1957" s="724"/>
      <c r="L1957" s="728"/>
      <c r="M1957" s="724">
        <f t="shared" si="190"/>
        <v>0</v>
      </c>
      <c r="N1957" s="728"/>
      <c r="O1957" s="724">
        <f t="shared" si="191"/>
        <v>0</v>
      </c>
      <c r="P1957" s="724">
        <f t="shared" si="185"/>
        <v>0</v>
      </c>
      <c r="Q1957" s="674"/>
    </row>
    <row r="1958" spans="2:17">
      <c r="B1958" s="330"/>
      <c r="C1958" s="720">
        <f>IF(D1907="","-",+C1957+1)</f>
        <v>2059</v>
      </c>
      <c r="D1958" s="673">
        <f t="shared" si="186"/>
        <v>0</v>
      </c>
      <c r="E1958" s="726">
        <f t="shared" si="187"/>
        <v>0</v>
      </c>
      <c r="F1958" s="726">
        <f t="shared" si="180"/>
        <v>0</v>
      </c>
      <c r="G1958" s="673">
        <f t="shared" si="188"/>
        <v>0</v>
      </c>
      <c r="H1958" s="721">
        <f>+J1908*G1958+E1958</f>
        <v>0</v>
      </c>
      <c r="I1958" s="727">
        <f>+J1909*G1958+E1958</f>
        <v>0</v>
      </c>
      <c r="J1958" s="724">
        <f t="shared" si="189"/>
        <v>0</v>
      </c>
      <c r="K1958" s="724"/>
      <c r="L1958" s="728"/>
      <c r="M1958" s="724">
        <f t="shared" si="190"/>
        <v>0</v>
      </c>
      <c r="N1958" s="728"/>
      <c r="O1958" s="724">
        <f t="shared" si="191"/>
        <v>0</v>
      </c>
      <c r="P1958" s="724">
        <f t="shared" si="185"/>
        <v>0</v>
      </c>
      <c r="Q1958" s="674"/>
    </row>
    <row r="1959" spans="2:17">
      <c r="B1959" s="330"/>
      <c r="C1959" s="720">
        <f>IF(D1907="","-",+C1958+1)</f>
        <v>2060</v>
      </c>
      <c r="D1959" s="673">
        <f t="shared" si="186"/>
        <v>0</v>
      </c>
      <c r="E1959" s="726">
        <f t="shared" si="187"/>
        <v>0</v>
      </c>
      <c r="F1959" s="726">
        <f t="shared" si="180"/>
        <v>0</v>
      </c>
      <c r="G1959" s="673">
        <f t="shared" si="188"/>
        <v>0</v>
      </c>
      <c r="H1959" s="721">
        <f>+J1908*G1959+E1959</f>
        <v>0</v>
      </c>
      <c r="I1959" s="727">
        <f>+J1909*G1959+E1959</f>
        <v>0</v>
      </c>
      <c r="J1959" s="724">
        <f t="shared" si="189"/>
        <v>0</v>
      </c>
      <c r="K1959" s="724"/>
      <c r="L1959" s="728"/>
      <c r="M1959" s="724">
        <f t="shared" si="190"/>
        <v>0</v>
      </c>
      <c r="N1959" s="728"/>
      <c r="O1959" s="724">
        <f t="shared" si="191"/>
        <v>0</v>
      </c>
      <c r="P1959" s="724">
        <f t="shared" si="185"/>
        <v>0</v>
      </c>
      <c r="Q1959" s="674"/>
    </row>
    <row r="1960" spans="2:17">
      <c r="B1960" s="330"/>
      <c r="C1960" s="720">
        <f>IF(D1907="","-",+C1959+1)</f>
        <v>2061</v>
      </c>
      <c r="D1960" s="673">
        <f t="shared" si="186"/>
        <v>0</v>
      </c>
      <c r="E1960" s="726">
        <f t="shared" si="187"/>
        <v>0</v>
      </c>
      <c r="F1960" s="726">
        <f t="shared" si="180"/>
        <v>0</v>
      </c>
      <c r="G1960" s="673">
        <f t="shared" si="188"/>
        <v>0</v>
      </c>
      <c r="H1960" s="721">
        <f>+J1908*G1960+E1960</f>
        <v>0</v>
      </c>
      <c r="I1960" s="727">
        <f>+J1909*G1960+E1960</f>
        <v>0</v>
      </c>
      <c r="J1960" s="724">
        <f t="shared" si="189"/>
        <v>0</v>
      </c>
      <c r="K1960" s="724"/>
      <c r="L1960" s="728"/>
      <c r="M1960" s="724">
        <f t="shared" si="190"/>
        <v>0</v>
      </c>
      <c r="N1960" s="728"/>
      <c r="O1960" s="724">
        <f t="shared" si="191"/>
        <v>0</v>
      </c>
      <c r="P1960" s="724">
        <f t="shared" si="185"/>
        <v>0</v>
      </c>
      <c r="Q1960" s="674"/>
    </row>
    <row r="1961" spans="2:17">
      <c r="B1961" s="330"/>
      <c r="C1961" s="720">
        <f>IF(D1907="","-",+C1960+1)</f>
        <v>2062</v>
      </c>
      <c r="D1961" s="673">
        <f t="shared" si="186"/>
        <v>0</v>
      </c>
      <c r="E1961" s="726">
        <f t="shared" si="187"/>
        <v>0</v>
      </c>
      <c r="F1961" s="726">
        <f t="shared" si="180"/>
        <v>0</v>
      </c>
      <c r="G1961" s="673">
        <f t="shared" si="188"/>
        <v>0</v>
      </c>
      <c r="H1961" s="721">
        <f>+J1908*G1961+E1961</f>
        <v>0</v>
      </c>
      <c r="I1961" s="727">
        <f>+J1909*G1961+E1961</f>
        <v>0</v>
      </c>
      <c r="J1961" s="724">
        <f t="shared" si="189"/>
        <v>0</v>
      </c>
      <c r="K1961" s="724"/>
      <c r="L1961" s="728"/>
      <c r="M1961" s="724">
        <f t="shared" si="190"/>
        <v>0</v>
      </c>
      <c r="N1961" s="728"/>
      <c r="O1961" s="724">
        <f t="shared" si="191"/>
        <v>0</v>
      </c>
      <c r="P1961" s="724">
        <f t="shared" si="185"/>
        <v>0</v>
      </c>
      <c r="Q1961" s="674"/>
    </row>
    <row r="1962" spans="2:17">
      <c r="B1962" s="330"/>
      <c r="C1962" s="720">
        <f>IF(D1907="","-",+C1961+1)</f>
        <v>2063</v>
      </c>
      <c r="D1962" s="673">
        <f t="shared" si="186"/>
        <v>0</v>
      </c>
      <c r="E1962" s="726">
        <f t="shared" si="187"/>
        <v>0</v>
      </c>
      <c r="F1962" s="726">
        <f t="shared" si="180"/>
        <v>0</v>
      </c>
      <c r="G1962" s="673">
        <f t="shared" si="188"/>
        <v>0</v>
      </c>
      <c r="H1962" s="721">
        <f>+J1908*G1962+E1962</f>
        <v>0</v>
      </c>
      <c r="I1962" s="727">
        <f>+J1909*G1962+E1962</f>
        <v>0</v>
      </c>
      <c r="J1962" s="724">
        <f t="shared" si="189"/>
        <v>0</v>
      </c>
      <c r="K1962" s="724"/>
      <c r="L1962" s="728"/>
      <c r="M1962" s="724">
        <f t="shared" si="190"/>
        <v>0</v>
      </c>
      <c r="N1962" s="728"/>
      <c r="O1962" s="724">
        <f t="shared" si="191"/>
        <v>0</v>
      </c>
      <c r="P1962" s="724">
        <f t="shared" si="185"/>
        <v>0</v>
      </c>
      <c r="Q1962" s="674"/>
    </row>
    <row r="1963" spans="2:17">
      <c r="B1963" s="330"/>
      <c r="C1963" s="720">
        <f>IF(D1907="","-",+C1962+1)</f>
        <v>2064</v>
      </c>
      <c r="D1963" s="673">
        <f t="shared" si="186"/>
        <v>0</v>
      </c>
      <c r="E1963" s="726">
        <f t="shared" si="187"/>
        <v>0</v>
      </c>
      <c r="F1963" s="726">
        <f t="shared" si="180"/>
        <v>0</v>
      </c>
      <c r="G1963" s="673">
        <f t="shared" si="188"/>
        <v>0</v>
      </c>
      <c r="H1963" s="721">
        <f>+J1908*G1963+E1963</f>
        <v>0</v>
      </c>
      <c r="I1963" s="727">
        <f>+J1909*G1963+E1963</f>
        <v>0</v>
      </c>
      <c r="J1963" s="724">
        <f t="shared" si="189"/>
        <v>0</v>
      </c>
      <c r="K1963" s="724"/>
      <c r="L1963" s="728"/>
      <c r="M1963" s="724">
        <f t="shared" si="190"/>
        <v>0</v>
      </c>
      <c r="N1963" s="728"/>
      <c r="O1963" s="724">
        <f t="shared" si="191"/>
        <v>0</v>
      </c>
      <c r="P1963" s="724">
        <f t="shared" si="185"/>
        <v>0</v>
      </c>
      <c r="Q1963" s="674"/>
    </row>
    <row r="1964" spans="2:17">
      <c r="B1964" s="330"/>
      <c r="C1964" s="720">
        <f>IF(D1907="","-",+C1963+1)</f>
        <v>2065</v>
      </c>
      <c r="D1964" s="673">
        <f t="shared" si="186"/>
        <v>0</v>
      </c>
      <c r="E1964" s="726">
        <f t="shared" si="187"/>
        <v>0</v>
      </c>
      <c r="F1964" s="726">
        <f t="shared" si="180"/>
        <v>0</v>
      </c>
      <c r="G1964" s="673">
        <f t="shared" si="188"/>
        <v>0</v>
      </c>
      <c r="H1964" s="721">
        <f>+J1908*G1964+E1964</f>
        <v>0</v>
      </c>
      <c r="I1964" s="727">
        <f>+J1909*G1964+E1964</f>
        <v>0</v>
      </c>
      <c r="J1964" s="724">
        <f t="shared" si="189"/>
        <v>0</v>
      </c>
      <c r="K1964" s="724"/>
      <c r="L1964" s="728"/>
      <c r="M1964" s="724">
        <f t="shared" si="190"/>
        <v>0</v>
      </c>
      <c r="N1964" s="728"/>
      <c r="O1964" s="724">
        <f t="shared" si="191"/>
        <v>0</v>
      </c>
      <c r="P1964" s="724">
        <f t="shared" si="185"/>
        <v>0</v>
      </c>
      <c r="Q1964" s="674"/>
    </row>
    <row r="1965" spans="2:17">
      <c r="B1965" s="330"/>
      <c r="C1965" s="720">
        <f>IF(D1907="","-",+C1964+1)</f>
        <v>2066</v>
      </c>
      <c r="D1965" s="673">
        <f t="shared" si="186"/>
        <v>0</v>
      </c>
      <c r="E1965" s="726">
        <f t="shared" si="187"/>
        <v>0</v>
      </c>
      <c r="F1965" s="726">
        <f t="shared" si="180"/>
        <v>0</v>
      </c>
      <c r="G1965" s="673">
        <f t="shared" si="188"/>
        <v>0</v>
      </c>
      <c r="H1965" s="721">
        <f>+J1908*G1965+E1965</f>
        <v>0</v>
      </c>
      <c r="I1965" s="727">
        <f>+J1909*G1965+E1965</f>
        <v>0</v>
      </c>
      <c r="J1965" s="724">
        <f t="shared" si="189"/>
        <v>0</v>
      </c>
      <c r="K1965" s="724"/>
      <c r="L1965" s="728"/>
      <c r="M1965" s="724">
        <f t="shared" si="190"/>
        <v>0</v>
      </c>
      <c r="N1965" s="728"/>
      <c r="O1965" s="724">
        <f t="shared" si="191"/>
        <v>0</v>
      </c>
      <c r="P1965" s="724">
        <f t="shared" si="185"/>
        <v>0</v>
      </c>
      <c r="Q1965" s="674"/>
    </row>
    <row r="1966" spans="2:17">
      <c r="B1966" s="330"/>
      <c r="C1966" s="720">
        <f>IF(D1907="","-",+C1965+1)</f>
        <v>2067</v>
      </c>
      <c r="D1966" s="673">
        <f t="shared" si="186"/>
        <v>0</v>
      </c>
      <c r="E1966" s="726">
        <f t="shared" si="187"/>
        <v>0</v>
      </c>
      <c r="F1966" s="726">
        <f t="shared" si="180"/>
        <v>0</v>
      </c>
      <c r="G1966" s="673">
        <f t="shared" si="188"/>
        <v>0</v>
      </c>
      <c r="H1966" s="721">
        <f>+J1908*G1966+E1966</f>
        <v>0</v>
      </c>
      <c r="I1966" s="727">
        <f>+J1909*G1966+E1966</f>
        <v>0</v>
      </c>
      <c r="J1966" s="724">
        <f t="shared" si="189"/>
        <v>0</v>
      </c>
      <c r="K1966" s="724"/>
      <c r="L1966" s="728"/>
      <c r="M1966" s="724">
        <f t="shared" si="190"/>
        <v>0</v>
      </c>
      <c r="N1966" s="728"/>
      <c r="O1966" s="724">
        <f t="shared" si="191"/>
        <v>0</v>
      </c>
      <c r="P1966" s="724">
        <f t="shared" si="185"/>
        <v>0</v>
      </c>
      <c r="Q1966" s="674"/>
    </row>
    <row r="1967" spans="2:17">
      <c r="B1967" s="330"/>
      <c r="C1967" s="720">
        <f>IF(D1907="","-",+C1966+1)</f>
        <v>2068</v>
      </c>
      <c r="D1967" s="673">
        <f t="shared" si="186"/>
        <v>0</v>
      </c>
      <c r="E1967" s="726">
        <f t="shared" si="187"/>
        <v>0</v>
      </c>
      <c r="F1967" s="726">
        <f t="shared" si="180"/>
        <v>0</v>
      </c>
      <c r="G1967" s="673">
        <f t="shared" si="188"/>
        <v>0</v>
      </c>
      <c r="H1967" s="721">
        <f>+J1908*G1967+E1967</f>
        <v>0</v>
      </c>
      <c r="I1967" s="727">
        <f>+J1909*G1967+E1967</f>
        <v>0</v>
      </c>
      <c r="J1967" s="724">
        <f t="shared" si="189"/>
        <v>0</v>
      </c>
      <c r="K1967" s="724"/>
      <c r="L1967" s="728"/>
      <c r="M1967" s="724">
        <f t="shared" si="190"/>
        <v>0</v>
      </c>
      <c r="N1967" s="728"/>
      <c r="O1967" s="724">
        <f t="shared" si="191"/>
        <v>0</v>
      </c>
      <c r="P1967" s="724">
        <f t="shared" si="185"/>
        <v>0</v>
      </c>
      <c r="Q1967" s="674"/>
    </row>
    <row r="1968" spans="2:17">
      <c r="B1968" s="330"/>
      <c r="C1968" s="720">
        <f>IF(D1907="","-",+C1967+1)</f>
        <v>2069</v>
      </c>
      <c r="D1968" s="673">
        <f t="shared" si="186"/>
        <v>0</v>
      </c>
      <c r="E1968" s="726">
        <f t="shared" si="187"/>
        <v>0</v>
      </c>
      <c r="F1968" s="726">
        <f t="shared" si="180"/>
        <v>0</v>
      </c>
      <c r="G1968" s="673">
        <f t="shared" si="188"/>
        <v>0</v>
      </c>
      <c r="H1968" s="721">
        <f>+J1908*G1968+E1968</f>
        <v>0</v>
      </c>
      <c r="I1968" s="727">
        <f>+J1909*G1968+E1968</f>
        <v>0</v>
      </c>
      <c r="J1968" s="724">
        <f t="shared" si="189"/>
        <v>0</v>
      </c>
      <c r="K1968" s="724"/>
      <c r="L1968" s="728"/>
      <c r="M1968" s="724">
        <f t="shared" si="190"/>
        <v>0</v>
      </c>
      <c r="N1968" s="728"/>
      <c r="O1968" s="724">
        <f t="shared" si="191"/>
        <v>0</v>
      </c>
      <c r="P1968" s="724">
        <f t="shared" si="185"/>
        <v>0</v>
      </c>
      <c r="Q1968" s="674"/>
    </row>
    <row r="1969" spans="1:17">
      <c r="B1969" s="330"/>
      <c r="C1969" s="720">
        <f>IF(D1907="","-",+C1968+1)</f>
        <v>2070</v>
      </c>
      <c r="D1969" s="673">
        <f t="shared" si="186"/>
        <v>0</v>
      </c>
      <c r="E1969" s="726">
        <f t="shared" si="187"/>
        <v>0</v>
      </c>
      <c r="F1969" s="726">
        <f t="shared" si="180"/>
        <v>0</v>
      </c>
      <c r="G1969" s="673">
        <f t="shared" si="188"/>
        <v>0</v>
      </c>
      <c r="H1969" s="721">
        <f>+J1908*G1969+E1969</f>
        <v>0</v>
      </c>
      <c r="I1969" s="727">
        <f>+J1909*G1969+E1969</f>
        <v>0</v>
      </c>
      <c r="J1969" s="724">
        <f t="shared" si="189"/>
        <v>0</v>
      </c>
      <c r="K1969" s="724"/>
      <c r="L1969" s="728"/>
      <c r="M1969" s="724">
        <f t="shared" si="190"/>
        <v>0</v>
      </c>
      <c r="N1969" s="728"/>
      <c r="O1969" s="724">
        <f t="shared" si="191"/>
        <v>0</v>
      </c>
      <c r="P1969" s="724">
        <f t="shared" si="185"/>
        <v>0</v>
      </c>
      <c r="Q1969" s="674"/>
    </row>
    <row r="1970" spans="1:17">
      <c r="B1970" s="330"/>
      <c r="C1970" s="720">
        <f>IF(D1907="","-",+C1969+1)</f>
        <v>2071</v>
      </c>
      <c r="D1970" s="673">
        <f t="shared" si="186"/>
        <v>0</v>
      </c>
      <c r="E1970" s="726">
        <f t="shared" si="187"/>
        <v>0</v>
      </c>
      <c r="F1970" s="726">
        <f t="shared" si="180"/>
        <v>0</v>
      </c>
      <c r="G1970" s="673">
        <f t="shared" si="188"/>
        <v>0</v>
      </c>
      <c r="H1970" s="721">
        <f>+J1908*G1970+E1970</f>
        <v>0</v>
      </c>
      <c r="I1970" s="727">
        <f>+J1909*G1970+E1970</f>
        <v>0</v>
      </c>
      <c r="J1970" s="724">
        <f t="shared" si="189"/>
        <v>0</v>
      </c>
      <c r="K1970" s="724"/>
      <c r="L1970" s="728"/>
      <c r="M1970" s="724">
        <f t="shared" si="190"/>
        <v>0</v>
      </c>
      <c r="N1970" s="728"/>
      <c r="O1970" s="724">
        <f t="shared" si="191"/>
        <v>0</v>
      </c>
      <c r="P1970" s="724">
        <f t="shared" si="185"/>
        <v>0</v>
      </c>
      <c r="Q1970" s="674"/>
    </row>
    <row r="1971" spans="1:17">
      <c r="B1971" s="330"/>
      <c r="C1971" s="720">
        <f>IF(D1907="","-",+C1970+1)</f>
        <v>2072</v>
      </c>
      <c r="D1971" s="673">
        <f t="shared" si="186"/>
        <v>0</v>
      </c>
      <c r="E1971" s="726">
        <f t="shared" si="187"/>
        <v>0</v>
      </c>
      <c r="F1971" s="726">
        <f t="shared" si="180"/>
        <v>0</v>
      </c>
      <c r="G1971" s="673">
        <f t="shared" si="188"/>
        <v>0</v>
      </c>
      <c r="H1971" s="721">
        <f>+J1908*G1971+E1971</f>
        <v>0</v>
      </c>
      <c r="I1971" s="727">
        <f>+J1909*G1971+E1971</f>
        <v>0</v>
      </c>
      <c r="J1971" s="724">
        <f t="shared" si="189"/>
        <v>0</v>
      </c>
      <c r="K1971" s="724"/>
      <c r="L1971" s="728"/>
      <c r="M1971" s="724">
        <f t="shared" si="190"/>
        <v>0</v>
      </c>
      <c r="N1971" s="728"/>
      <c r="O1971" s="724">
        <f t="shared" si="191"/>
        <v>0</v>
      </c>
      <c r="P1971" s="724">
        <f t="shared" si="185"/>
        <v>0</v>
      </c>
      <c r="Q1971" s="674"/>
    </row>
    <row r="1972" spans="1:17" ht="13.5" thickBot="1">
      <c r="B1972" s="330"/>
      <c r="C1972" s="730">
        <f>IF(D1907="","-",+C1971+1)</f>
        <v>2073</v>
      </c>
      <c r="D1972" s="731">
        <f t="shared" si="186"/>
        <v>0</v>
      </c>
      <c r="E1972" s="1309">
        <f t="shared" si="187"/>
        <v>0</v>
      </c>
      <c r="F1972" s="732">
        <f t="shared" si="180"/>
        <v>0</v>
      </c>
      <c r="G1972" s="731">
        <f t="shared" si="188"/>
        <v>0</v>
      </c>
      <c r="H1972" s="733">
        <f>+J1908*G1972+E1972</f>
        <v>0</v>
      </c>
      <c r="I1972" s="733">
        <f>+J1909*G1972+E1972</f>
        <v>0</v>
      </c>
      <c r="J1972" s="734">
        <f t="shared" si="189"/>
        <v>0</v>
      </c>
      <c r="K1972" s="724"/>
      <c r="L1972" s="735"/>
      <c r="M1972" s="734">
        <f t="shared" si="190"/>
        <v>0</v>
      </c>
      <c r="N1972" s="735"/>
      <c r="O1972" s="734">
        <f t="shared" si="191"/>
        <v>0</v>
      </c>
      <c r="P1972" s="734">
        <f t="shared" si="185"/>
        <v>0</v>
      </c>
      <c r="Q1972" s="674"/>
    </row>
    <row r="1973" spans="1:17">
      <c r="B1973" s="330"/>
      <c r="C1973" s="673" t="s">
        <v>288</v>
      </c>
      <c r="D1973" s="669"/>
      <c r="E1973" s="669">
        <f>SUM(E1913:E1972)</f>
        <v>8640.07</v>
      </c>
      <c r="F1973" s="669"/>
      <c r="G1973" s="669"/>
      <c r="H1973" s="669">
        <f>SUM(H1913:H1972)</f>
        <v>38574.167013126418</v>
      </c>
      <c r="I1973" s="669">
        <f>SUM(I1913:I1972)</f>
        <v>38574.167013126418</v>
      </c>
      <c r="J1973" s="669">
        <f>SUM(J1913:J1972)</f>
        <v>0</v>
      </c>
      <c r="K1973" s="669"/>
      <c r="L1973" s="669"/>
      <c r="M1973" s="669"/>
      <c r="N1973" s="669"/>
      <c r="O1973" s="669"/>
      <c r="Q1973" s="669"/>
    </row>
    <row r="1974" spans="1:17">
      <c r="B1974" s="330"/>
      <c r="D1974" s="563"/>
      <c r="E1974" s="542"/>
      <c r="F1974" s="542"/>
      <c r="G1974" s="542"/>
      <c r="H1974" s="542"/>
      <c r="I1974" s="646"/>
      <c r="J1974" s="646"/>
      <c r="K1974" s="669"/>
      <c r="L1974" s="646"/>
      <c r="M1974" s="646"/>
      <c r="N1974" s="646"/>
      <c r="O1974" s="646"/>
      <c r="Q1974" s="669"/>
    </row>
    <row r="1975" spans="1:17">
      <c r="B1975" s="330"/>
      <c r="C1975" s="542" t="s">
        <v>595</v>
      </c>
      <c r="D1975" s="563"/>
      <c r="E1975" s="542"/>
      <c r="F1975" s="542"/>
      <c r="G1975" s="542"/>
      <c r="H1975" s="542"/>
      <c r="I1975" s="646"/>
      <c r="J1975" s="646"/>
      <c r="K1975" s="669"/>
      <c r="L1975" s="646"/>
      <c r="M1975" s="646"/>
      <c r="N1975" s="646"/>
      <c r="O1975" s="646"/>
      <c r="Q1975" s="669"/>
    </row>
    <row r="1976" spans="1:17">
      <c r="B1976" s="330"/>
      <c r="D1976" s="563"/>
      <c r="E1976" s="542"/>
      <c r="F1976" s="542"/>
      <c r="G1976" s="542"/>
      <c r="H1976" s="542"/>
      <c r="I1976" s="646"/>
      <c r="J1976" s="646"/>
      <c r="K1976" s="669"/>
      <c r="L1976" s="646"/>
      <c r="M1976" s="646"/>
      <c r="N1976" s="646"/>
      <c r="O1976" s="646"/>
      <c r="Q1976" s="669"/>
    </row>
    <row r="1977" spans="1:17">
      <c r="B1977" s="330"/>
      <c r="C1977" s="576" t="s">
        <v>596</v>
      </c>
      <c r="D1977" s="673"/>
      <c r="E1977" s="673"/>
      <c r="F1977" s="673"/>
      <c r="G1977" s="673"/>
      <c r="H1977" s="669"/>
      <c r="I1977" s="669"/>
      <c r="J1977" s="674"/>
      <c r="K1977" s="674"/>
      <c r="L1977" s="674"/>
      <c r="M1977" s="674"/>
      <c r="N1977" s="674"/>
      <c r="O1977" s="674"/>
      <c r="Q1977" s="674"/>
    </row>
    <row r="1978" spans="1:17">
      <c r="B1978" s="330"/>
      <c r="C1978" s="576" t="s">
        <v>476</v>
      </c>
      <c r="D1978" s="673"/>
      <c r="E1978" s="673"/>
      <c r="F1978" s="673"/>
      <c r="G1978" s="673"/>
      <c r="H1978" s="669"/>
      <c r="I1978" s="669"/>
      <c r="J1978" s="674"/>
      <c r="K1978" s="674"/>
      <c r="L1978" s="674"/>
      <c r="M1978" s="674"/>
      <c r="N1978" s="674"/>
      <c r="O1978" s="674"/>
      <c r="Q1978" s="674"/>
    </row>
    <row r="1979" spans="1:17">
      <c r="B1979" s="330"/>
      <c r="C1979" s="576" t="s">
        <v>289</v>
      </c>
      <c r="D1979" s="673"/>
      <c r="E1979" s="673"/>
      <c r="F1979" s="673"/>
      <c r="G1979" s="673"/>
      <c r="H1979" s="669"/>
      <c r="I1979" s="669"/>
      <c r="J1979" s="674"/>
      <c r="K1979" s="674"/>
      <c r="L1979" s="674"/>
      <c r="M1979" s="674"/>
      <c r="N1979" s="674"/>
      <c r="O1979" s="674"/>
      <c r="Q1979" s="674"/>
    </row>
    <row r="1981" spans="1:17" ht="20.25">
      <c r="A1981" s="1476" t="s">
        <v>764</v>
      </c>
      <c r="B1981" s="1458"/>
      <c r="C1981" s="1472"/>
      <c r="D1981" s="1459"/>
      <c r="E1981" s="1458"/>
      <c r="F1981" s="1470"/>
      <c r="G1981" s="1470"/>
      <c r="H1981" s="1458"/>
      <c r="I1981" s="1471"/>
      <c r="J1981" s="1457"/>
      <c r="K1981" s="1456"/>
      <c r="L1981" s="1477"/>
      <c r="M1981" s="1477"/>
      <c r="N1981" s="1477"/>
      <c r="O1981" s="1465" t="str">
        <f>"Page "&amp;SUM(Q$3:Q1981)&amp;" of "</f>
        <v xml:space="preserve">Page 23 of </v>
      </c>
      <c r="P1981" s="1466">
        <f>COUNT(Q$8:Q$58212)</f>
        <v>23</v>
      </c>
    </row>
    <row r="1982" spans="1:17">
      <c r="A1982" s="1457"/>
      <c r="B1982" s="1458"/>
      <c r="C1982" s="1458"/>
      <c r="D1982" s="1459"/>
      <c r="E1982" s="1458"/>
      <c r="F1982" s="1458"/>
      <c r="G1982" s="1458"/>
      <c r="H1982" s="1458"/>
      <c r="I1982" s="1471"/>
      <c r="J1982" s="1458"/>
      <c r="K1982" s="1462"/>
      <c r="L1982" s="1458"/>
      <c r="M1982" s="1458"/>
      <c r="N1982" s="1458"/>
      <c r="O1982" s="1458"/>
      <c r="P1982" s="1458"/>
    </row>
    <row r="1983" spans="1:17" ht="18">
      <c r="A1983" s="1457"/>
      <c r="B1983" s="1468" t="s">
        <v>174</v>
      </c>
      <c r="C1983" s="1478" t="s">
        <v>290</v>
      </c>
      <c r="D1983" s="1459"/>
      <c r="E1983" s="1458"/>
      <c r="F1983" s="1458"/>
      <c r="G1983" s="1458"/>
      <c r="H1983" s="1458"/>
      <c r="I1983" s="1471"/>
      <c r="J1983" s="1471"/>
      <c r="K1983" s="1473"/>
      <c r="L1983" s="1471"/>
      <c r="M1983" s="1471"/>
      <c r="N1983" s="1471"/>
      <c r="O1983" s="1471"/>
      <c r="P1983" s="1458"/>
    </row>
    <row r="1984" spans="1:17" ht="18.75">
      <c r="A1984" s="1457"/>
      <c r="B1984" s="1468"/>
      <c r="C1984" s="1467"/>
      <c r="D1984" s="1459"/>
      <c r="E1984" s="1458"/>
      <c r="F1984" s="1458"/>
      <c r="G1984" s="1458"/>
      <c r="H1984" s="1458"/>
      <c r="I1984" s="1471"/>
      <c r="J1984" s="1471"/>
      <c r="K1984" s="1473"/>
      <c r="L1984" s="1471"/>
      <c r="M1984" s="1471"/>
      <c r="N1984" s="1471"/>
      <c r="O1984" s="1471"/>
      <c r="P1984" s="1458"/>
    </row>
    <row r="1985" spans="1:16" ht="18.75">
      <c r="A1985" s="1457"/>
      <c r="B1985" s="1468"/>
      <c r="C1985" s="1467" t="s">
        <v>291</v>
      </c>
      <c r="D1985" s="1459"/>
      <c r="E1985" s="1458"/>
      <c r="F1985" s="1458"/>
      <c r="G1985" s="1458"/>
      <c r="H1985" s="1458"/>
      <c r="I1985" s="1471"/>
      <c r="J1985" s="1471"/>
      <c r="K1985" s="1473"/>
      <c r="L1985" s="1471"/>
      <c r="M1985" s="1471"/>
      <c r="N1985" s="1471"/>
      <c r="O1985" s="1471"/>
      <c r="P1985" s="1458"/>
    </row>
    <row r="1986" spans="1:16" ht="15.75" thickBot="1">
      <c r="A1986" s="1457"/>
      <c r="B1986" s="1457"/>
      <c r="C1986" s="1460"/>
      <c r="D1986" s="1459"/>
      <c r="E1986" s="1458"/>
      <c r="F1986" s="1458"/>
      <c r="G1986" s="1458"/>
      <c r="H1986" s="1458"/>
      <c r="I1986" s="1471"/>
      <c r="J1986" s="1471"/>
      <c r="K1986" s="1473"/>
      <c r="L1986" s="1471"/>
      <c r="M1986" s="1471"/>
      <c r="N1986" s="1471"/>
      <c r="O1986" s="1471"/>
      <c r="P1986" s="1458"/>
    </row>
    <row r="1987" spans="1:16" ht="15.75">
      <c r="A1987" s="1457"/>
      <c r="B1987" s="1457"/>
      <c r="C1987" s="1469" t="s">
        <v>292</v>
      </c>
      <c r="D1987" s="1459"/>
      <c r="E1987" s="1458"/>
      <c r="F1987" s="1458"/>
      <c r="G1987" s="1458"/>
      <c r="H1987" s="1540"/>
      <c r="I1987" s="1458" t="s">
        <v>271</v>
      </c>
      <c r="J1987" s="1458"/>
      <c r="K1987" s="1462"/>
      <c r="L1987" s="1530">
        <f>+J1993</f>
        <v>2021</v>
      </c>
      <c r="M1987" s="1528" t="s">
        <v>254</v>
      </c>
      <c r="N1987" s="1528" t="s">
        <v>255</v>
      </c>
      <c r="O1987" s="1529" t="s">
        <v>256</v>
      </c>
      <c r="P1987" s="1458"/>
    </row>
    <row r="1988" spans="1:16" ht="15.75">
      <c r="A1988" s="1457"/>
      <c r="B1988" s="1457"/>
      <c r="C1988" s="1469"/>
      <c r="D1988" s="1459"/>
      <c r="E1988" s="1458"/>
      <c r="F1988" s="1458"/>
      <c r="G1988" s="1457"/>
      <c r="H1988" s="1458"/>
      <c r="I1988" s="1479"/>
      <c r="J1988" s="1479"/>
      <c r="K1988" s="1480"/>
      <c r="L1988" s="1531" t="s">
        <v>455</v>
      </c>
      <c r="M1988" s="1532">
        <f>VLOOKUP(J1993,C2000:P2059,10)</f>
        <v>0</v>
      </c>
      <c r="N1988" s="1532">
        <f>VLOOKUP(J1993,C2000:P2059,12)</f>
        <v>0</v>
      </c>
      <c r="O1988" s="1533">
        <f>+N1988-M1988</f>
        <v>0</v>
      </c>
      <c r="P1988" s="1458"/>
    </row>
    <row r="1989" spans="1:16">
      <c r="A1989" s="1457"/>
      <c r="B1989" s="1457"/>
      <c r="C1989" s="1481" t="s">
        <v>293</v>
      </c>
      <c r="D1989" s="1552" t="s">
        <v>1250</v>
      </c>
      <c r="E1989" s="1546"/>
      <c r="F1989" s="1546"/>
      <c r="G1989" s="1546"/>
      <c r="H1989" s="1546"/>
      <c r="I1989" s="1484"/>
      <c r="J1989" s="1471"/>
      <c r="K1989" s="1473"/>
      <c r="L1989" s="1531" t="s">
        <v>456</v>
      </c>
      <c r="M1989" s="1534">
        <f>VLOOKUP(J1993,C2000:P2059,6)</f>
        <v>0</v>
      </c>
      <c r="N1989" s="1534">
        <f>VLOOKUP(J1993,C2000:P2059,7)</f>
        <v>0</v>
      </c>
      <c r="O1989" s="1535">
        <f>+N1989-M1989</f>
        <v>0</v>
      </c>
      <c r="P1989" s="1458"/>
    </row>
    <row r="1990" spans="1:16" ht="13.5" thickBot="1">
      <c r="A1990" s="1457"/>
      <c r="B1990" s="1457"/>
      <c r="C1990" s="1483"/>
      <c r="D1990" s="1486" t="s">
        <v>114</v>
      </c>
      <c r="E1990" s="1484"/>
      <c r="F1990" s="1484"/>
      <c r="G1990" s="1484"/>
      <c r="H1990" s="1484"/>
      <c r="I1990" s="1484"/>
      <c r="J1990" s="1471"/>
      <c r="K1990" s="1473"/>
      <c r="L1990" s="1500" t="s">
        <v>457</v>
      </c>
      <c r="M1990" s="1536">
        <f>+M1989-M1988</f>
        <v>0</v>
      </c>
      <c r="N1990" s="1536">
        <f>+N1989-N1988</f>
        <v>0</v>
      </c>
      <c r="O1990" s="1537">
        <f>+O1989-O1988</f>
        <v>0</v>
      </c>
      <c r="P1990" s="1458"/>
    </row>
    <row r="1991" spans="1:16" ht="13.5" thickBot="1">
      <c r="A1991" s="1457"/>
      <c r="B1991" s="1457"/>
      <c r="C1991" s="1485"/>
      <c r="D1991" s="1486"/>
      <c r="E1991" s="1484"/>
      <c r="F1991" s="1484"/>
      <c r="G1991" s="1484"/>
      <c r="H1991" s="1484"/>
      <c r="I1991" s="1484"/>
      <c r="J1991" s="1484"/>
      <c r="K1991" s="1487"/>
      <c r="L1991" s="1484"/>
      <c r="M1991" s="1484"/>
      <c r="N1991" s="1484"/>
      <c r="O1991" s="1484"/>
      <c r="P1991" s="1461"/>
    </row>
    <row r="1992" spans="1:16" ht="13.5" thickBot="1">
      <c r="A1992" s="1457"/>
      <c r="B1992" s="1457"/>
      <c r="C1992" s="1488" t="s">
        <v>294</v>
      </c>
      <c r="D1992" s="1489"/>
      <c r="E1992" s="1489"/>
      <c r="F1992" s="1489"/>
      <c r="G1992" s="1489"/>
      <c r="H1992" s="1489"/>
      <c r="I1992" s="1489"/>
      <c r="J1992" s="1489"/>
      <c r="K1992" s="1490"/>
      <c r="L1992" s="1458"/>
      <c r="M1992" s="1458"/>
      <c r="N1992" s="1458"/>
      <c r="O1992" s="1458"/>
      <c r="P1992" s="1491"/>
    </row>
    <row r="1993" spans="1:16" ht="15">
      <c r="A1993" s="1454"/>
      <c r="B1993" s="1457"/>
      <c r="C1993" s="1492" t="s">
        <v>272</v>
      </c>
      <c r="D1993" s="1544">
        <v>0</v>
      </c>
      <c r="E1993" s="1472" t="s">
        <v>273</v>
      </c>
      <c r="F1993" s="1457"/>
      <c r="G1993" s="1457"/>
      <c r="H1993" s="1493"/>
      <c r="I1993" s="1493"/>
      <c r="J1993" s="1494">
        <f>$J$95</f>
        <v>2021</v>
      </c>
      <c r="K1993" s="1464"/>
      <c r="L1993" s="1717" t="s">
        <v>274</v>
      </c>
      <c r="M1993" s="1717"/>
      <c r="N1993" s="1717"/>
      <c r="O1993" s="1717"/>
      <c r="P1993" s="1462"/>
    </row>
    <row r="1994" spans="1:16">
      <c r="A1994" s="1454"/>
      <c r="B1994" s="1457"/>
      <c r="C1994" s="1492" t="s">
        <v>275</v>
      </c>
      <c r="D1994" s="1541">
        <v>2019</v>
      </c>
      <c r="E1994" s="1492" t="s">
        <v>276</v>
      </c>
      <c r="F1994" s="1493"/>
      <c r="G1994" s="1493"/>
      <c r="H1994" s="1457"/>
      <c r="I1994" s="1457"/>
      <c r="J1994" s="1543">
        <v>0</v>
      </c>
      <c r="K1994" s="1495"/>
      <c r="L1994" s="1473" t="s">
        <v>475</v>
      </c>
      <c r="M1994" s="1458"/>
      <c r="N1994" s="1458"/>
      <c r="O1994" s="1458"/>
      <c r="P1994" s="1462"/>
    </row>
    <row r="1995" spans="1:16">
      <c r="A1995" s="1454"/>
      <c r="B1995" s="1457"/>
      <c r="C1995" s="1492" t="s">
        <v>277</v>
      </c>
      <c r="D1995" s="1544">
        <v>7</v>
      </c>
      <c r="E1995" s="1492" t="s">
        <v>278</v>
      </c>
      <c r="F1995" s="1493"/>
      <c r="G1995" s="1493"/>
      <c r="H1995" s="1457"/>
      <c r="I1995" s="1457"/>
      <c r="J1995" s="1496">
        <f>$F$70</f>
        <v>0.15341253840442806</v>
      </c>
      <c r="K1995" s="1497"/>
      <c r="L1995" s="1458" t="str">
        <f>"          INPUT TRUE-UP ARR (WITH &amp; WITHOUT INCENTIVES) FROM EACH PRIOR YEAR"</f>
        <v xml:space="preserve">          INPUT TRUE-UP ARR (WITH &amp; WITHOUT INCENTIVES) FROM EACH PRIOR YEAR</v>
      </c>
      <c r="M1995" s="1458"/>
      <c r="N1995" s="1458"/>
      <c r="O1995" s="1458"/>
      <c r="P1995" s="1462"/>
    </row>
    <row r="1996" spans="1:16">
      <c r="A1996" s="1454"/>
      <c r="B1996" s="1457"/>
      <c r="C1996" s="1492" t="s">
        <v>279</v>
      </c>
      <c r="D1996" s="1498">
        <f>H79</f>
        <v>44</v>
      </c>
      <c r="E1996" s="1492" t="s">
        <v>280</v>
      </c>
      <c r="F1996" s="1493"/>
      <c r="G1996" s="1493"/>
      <c r="H1996" s="1457"/>
      <c r="I1996" s="1457"/>
      <c r="J1996" s="1496">
        <f>IF(H1987="",J1995,$F$69)</f>
        <v>0.15341253840442806</v>
      </c>
      <c r="K1996" s="1499"/>
      <c r="L1996" s="1458" t="s">
        <v>362</v>
      </c>
      <c r="M1996" s="1499"/>
      <c r="N1996" s="1499"/>
      <c r="O1996" s="1499"/>
      <c r="P1996" s="1462"/>
    </row>
    <row r="1997" spans="1:16" ht="13.5" thickBot="1">
      <c r="A1997" s="1454"/>
      <c r="B1997" s="1457"/>
      <c r="C1997" s="1492" t="s">
        <v>281</v>
      </c>
      <c r="D1997" s="1542" t="s">
        <v>933</v>
      </c>
      <c r="E1997" s="1500" t="s">
        <v>282</v>
      </c>
      <c r="F1997" s="1501"/>
      <c r="G1997" s="1501"/>
      <c r="H1997" s="1502"/>
      <c r="I1997" s="1502"/>
      <c r="J1997" s="1482">
        <f>IF(D1993=0,0,D1993/D1996)</f>
        <v>0</v>
      </c>
      <c r="K1997" s="1473"/>
      <c r="L1997" s="1473" t="s">
        <v>363</v>
      </c>
      <c r="M1997" s="1473"/>
      <c r="N1997" s="1473"/>
      <c r="O1997" s="1473"/>
      <c r="P1997" s="1462"/>
    </row>
    <row r="1998" spans="1:16" ht="38.25">
      <c r="A1998" s="1463"/>
      <c r="B1998" s="1463"/>
      <c r="C1998" s="1503" t="s">
        <v>272</v>
      </c>
      <c r="D1998" s="1504" t="s">
        <v>283</v>
      </c>
      <c r="E1998" s="1505" t="s">
        <v>284</v>
      </c>
      <c r="F1998" s="1504" t="s">
        <v>285</v>
      </c>
      <c r="G1998" s="1504" t="s">
        <v>458</v>
      </c>
      <c r="H1998" s="1505" t="s">
        <v>356</v>
      </c>
      <c r="I1998" s="1506" t="s">
        <v>356</v>
      </c>
      <c r="J1998" s="1503" t="s">
        <v>295</v>
      </c>
      <c r="K1998" s="1507"/>
      <c r="L1998" s="1505" t="s">
        <v>358</v>
      </c>
      <c r="M1998" s="1505" t="s">
        <v>364</v>
      </c>
      <c r="N1998" s="1505" t="s">
        <v>358</v>
      </c>
      <c r="O1998" s="1505" t="s">
        <v>366</v>
      </c>
      <c r="P1998" s="1505" t="s">
        <v>286</v>
      </c>
    </row>
    <row r="1999" spans="1:16" ht="13.5" thickBot="1">
      <c r="A1999" s="1457"/>
      <c r="B1999" s="1457"/>
      <c r="C1999" s="1508" t="s">
        <v>177</v>
      </c>
      <c r="D1999" s="1509" t="s">
        <v>178</v>
      </c>
      <c r="E1999" s="1508" t="s">
        <v>37</v>
      </c>
      <c r="F1999" s="1509" t="s">
        <v>178</v>
      </c>
      <c r="G1999" s="1509" t="s">
        <v>178</v>
      </c>
      <c r="H1999" s="1510" t="s">
        <v>298</v>
      </c>
      <c r="I1999" s="1511" t="s">
        <v>300</v>
      </c>
      <c r="J1999" s="1512" t="s">
        <v>389</v>
      </c>
      <c r="K1999" s="1513"/>
      <c r="L1999" s="1510" t="s">
        <v>287</v>
      </c>
      <c r="M1999" s="1510" t="s">
        <v>287</v>
      </c>
      <c r="N1999" s="1510" t="s">
        <v>467</v>
      </c>
      <c r="O1999" s="1510" t="s">
        <v>467</v>
      </c>
      <c r="P1999" s="1510" t="s">
        <v>467</v>
      </c>
    </row>
    <row r="2000" spans="1:16">
      <c r="A2000" s="1457"/>
      <c r="B2000" s="1457"/>
      <c r="C2000" s="1514">
        <f>IF(D1994= "","-",D1994)</f>
        <v>2019</v>
      </c>
      <c r="D2000" s="1474">
        <f>+D1993</f>
        <v>0</v>
      </c>
      <c r="E2000" s="1515">
        <f>+J1997/12*(12-D1995)</f>
        <v>0</v>
      </c>
      <c r="F2000" s="1538">
        <f t="shared" ref="F2000:F2059" si="192">+D2000-E2000</f>
        <v>0</v>
      </c>
      <c r="G2000" s="1474">
        <f t="shared" ref="G2000:G2059" si="193">+(D2000+F2000)/2</f>
        <v>0</v>
      </c>
      <c r="H2000" s="1516">
        <f>+J1995*G2000+E2000</f>
        <v>0</v>
      </c>
      <c r="I2000" s="1517">
        <f>+J1996*G2000+E2000</f>
        <v>0</v>
      </c>
      <c r="J2000" s="1518">
        <f t="shared" ref="J2000:J2059" si="194">+I2000-H2000</f>
        <v>0</v>
      </c>
      <c r="K2000" s="1518"/>
      <c r="L2000" s="1548">
        <v>787895</v>
      </c>
      <c r="M2000" s="1539">
        <f t="shared" ref="M2000:M2059" si="195">IF(L2000&lt;&gt;0,+H2000-L2000,0)</f>
        <v>-787895</v>
      </c>
      <c r="N2000" s="1548">
        <v>787895</v>
      </c>
      <c r="O2000" s="1539">
        <f t="shared" ref="O2000:O2059" si="196">IF(N2000&lt;&gt;0,+I2000-N2000,0)</f>
        <v>-787895</v>
      </c>
      <c r="P2000" s="1539">
        <f t="shared" ref="P2000:P2059" si="197">+O2000-M2000</f>
        <v>0</v>
      </c>
    </row>
    <row r="2001" spans="1:16">
      <c r="A2001" s="1457"/>
      <c r="B2001" s="1457"/>
      <c r="C2001" s="1514">
        <f>IF(D1994="","-",+C2000+1)</f>
        <v>2020</v>
      </c>
      <c r="D2001" s="1474">
        <f t="shared" ref="D2001:D2059" si="198">F2000</f>
        <v>0</v>
      </c>
      <c r="E2001" s="1519">
        <f>IF(D2001&gt;$J$1997,$J$1997,D2001)</f>
        <v>0</v>
      </c>
      <c r="F2001" s="1519">
        <f t="shared" si="192"/>
        <v>0</v>
      </c>
      <c r="G2001" s="1474">
        <f t="shared" si="193"/>
        <v>0</v>
      </c>
      <c r="H2001" s="1515">
        <f>+J1995*G2001+E2001</f>
        <v>0</v>
      </c>
      <c r="I2001" s="1520">
        <f>+J1996*G2001+E2001</f>
        <v>0</v>
      </c>
      <c r="J2001" s="1518">
        <f t="shared" si="194"/>
        <v>0</v>
      </c>
      <c r="K2001" s="1518"/>
      <c r="L2001" s="1521">
        <v>1123918.7591026004</v>
      </c>
      <c r="M2001" s="1518">
        <f t="shared" si="195"/>
        <v>-1123918.7591026004</v>
      </c>
      <c r="N2001" s="1548">
        <v>1123918.7591026004</v>
      </c>
      <c r="O2001" s="1518">
        <f t="shared" si="196"/>
        <v>-1123918.7591026004</v>
      </c>
      <c r="P2001" s="1518">
        <f t="shared" si="197"/>
        <v>0</v>
      </c>
    </row>
    <row r="2002" spans="1:16">
      <c r="A2002" s="1457"/>
      <c r="B2002" s="1457"/>
      <c r="C2002" s="1514">
        <f>IF(D1994="","-",+C2001+1)</f>
        <v>2021</v>
      </c>
      <c r="D2002" s="1474">
        <f t="shared" si="198"/>
        <v>0</v>
      </c>
      <c r="E2002" s="1519">
        <f t="shared" ref="E2002:E2059" si="199">IF(D2002&gt;$J$1997,$J$1997,D2002)</f>
        <v>0</v>
      </c>
      <c r="F2002" s="1519">
        <f t="shared" si="192"/>
        <v>0</v>
      </c>
      <c r="G2002" s="1474">
        <f t="shared" si="193"/>
        <v>0</v>
      </c>
      <c r="H2002" s="1515">
        <f>+J1995*G2002+E2002</f>
        <v>0</v>
      </c>
      <c r="I2002" s="1520">
        <f>+J1996*G2002+E2002</f>
        <v>0</v>
      </c>
      <c r="J2002" s="1518">
        <f t="shared" si="194"/>
        <v>0</v>
      </c>
      <c r="K2002" s="1518"/>
      <c r="L2002" s="1521">
        <v>0</v>
      </c>
      <c r="M2002" s="1518">
        <f t="shared" si="195"/>
        <v>0</v>
      </c>
      <c r="N2002" s="1521">
        <v>0</v>
      </c>
      <c r="O2002" s="1518">
        <f t="shared" si="196"/>
        <v>0</v>
      </c>
      <c r="P2002" s="1518">
        <f t="shared" si="197"/>
        <v>0</v>
      </c>
    </row>
    <row r="2003" spans="1:16">
      <c r="A2003" s="1457"/>
      <c r="B2003" s="1457"/>
      <c r="C2003" s="1514">
        <f>IF(D1994="","-",+C2002+1)</f>
        <v>2022</v>
      </c>
      <c r="D2003" s="1545">
        <f t="shared" si="198"/>
        <v>0</v>
      </c>
      <c r="E2003" s="1519">
        <f t="shared" si="199"/>
        <v>0</v>
      </c>
      <c r="F2003" s="1519">
        <f t="shared" si="192"/>
        <v>0</v>
      </c>
      <c r="G2003" s="1474">
        <f t="shared" si="193"/>
        <v>0</v>
      </c>
      <c r="H2003" s="1515">
        <f>+J1995*G2003+E2003</f>
        <v>0</v>
      </c>
      <c r="I2003" s="1520">
        <f>+J1996*G2003+E2003</f>
        <v>0</v>
      </c>
      <c r="J2003" s="1518">
        <f t="shared" si="194"/>
        <v>0</v>
      </c>
      <c r="K2003" s="1518"/>
      <c r="L2003" s="1521">
        <v>0</v>
      </c>
      <c r="M2003" s="1518">
        <f t="shared" si="195"/>
        <v>0</v>
      </c>
      <c r="N2003" s="1521">
        <v>0</v>
      </c>
      <c r="O2003" s="1518">
        <f t="shared" si="196"/>
        <v>0</v>
      </c>
      <c r="P2003" s="1518">
        <f t="shared" si="197"/>
        <v>0</v>
      </c>
    </row>
    <row r="2004" spans="1:16">
      <c r="A2004" s="1457"/>
      <c r="B2004" s="1457"/>
      <c r="C2004" s="1514">
        <f>IF(D1994="","-",+C2003+1)</f>
        <v>2023</v>
      </c>
      <c r="D2004" s="1455">
        <f t="shared" si="198"/>
        <v>0</v>
      </c>
      <c r="E2004" s="1519">
        <f t="shared" si="199"/>
        <v>0</v>
      </c>
      <c r="F2004" s="1519">
        <f t="shared" si="192"/>
        <v>0</v>
      </c>
      <c r="G2004" s="1474">
        <f t="shared" si="193"/>
        <v>0</v>
      </c>
      <c r="H2004" s="1515">
        <f>+J1995*G2004+E2004</f>
        <v>0</v>
      </c>
      <c r="I2004" s="1520">
        <f>+J1996*G2004+E2004</f>
        <v>0</v>
      </c>
      <c r="J2004" s="1518">
        <f t="shared" si="194"/>
        <v>0</v>
      </c>
      <c r="K2004" s="1518"/>
      <c r="L2004" s="1521">
        <v>0</v>
      </c>
      <c r="M2004" s="1518">
        <f t="shared" si="195"/>
        <v>0</v>
      </c>
      <c r="N2004" s="1521">
        <v>0</v>
      </c>
      <c r="O2004" s="1518">
        <f t="shared" si="196"/>
        <v>0</v>
      </c>
      <c r="P2004" s="1518">
        <f t="shared" si="197"/>
        <v>0</v>
      </c>
    </row>
    <row r="2005" spans="1:16">
      <c r="A2005" s="1457"/>
      <c r="B2005" s="1457"/>
      <c r="C2005" s="1514">
        <f>IF(D1994="","-",+C2004+1)</f>
        <v>2024</v>
      </c>
      <c r="D2005" s="1545">
        <f t="shared" si="198"/>
        <v>0</v>
      </c>
      <c r="E2005" s="1519">
        <f t="shared" si="199"/>
        <v>0</v>
      </c>
      <c r="F2005" s="1519">
        <f t="shared" si="192"/>
        <v>0</v>
      </c>
      <c r="G2005" s="1474">
        <f t="shared" si="193"/>
        <v>0</v>
      </c>
      <c r="H2005" s="1515">
        <f>+J1995*G2005+E2005</f>
        <v>0</v>
      </c>
      <c r="I2005" s="1520">
        <f>+J1996*G2005+E2005</f>
        <v>0</v>
      </c>
      <c r="J2005" s="1518">
        <f t="shared" si="194"/>
        <v>0</v>
      </c>
      <c r="K2005" s="1518"/>
      <c r="L2005" s="1521">
        <v>0</v>
      </c>
      <c r="M2005" s="1518">
        <f t="shared" si="195"/>
        <v>0</v>
      </c>
      <c r="N2005" s="1521">
        <v>0</v>
      </c>
      <c r="O2005" s="1518">
        <f t="shared" si="196"/>
        <v>0</v>
      </c>
      <c r="P2005" s="1518">
        <f t="shared" si="197"/>
        <v>0</v>
      </c>
    </row>
    <row r="2006" spans="1:16">
      <c r="A2006" s="1457"/>
      <c r="B2006" s="1457"/>
      <c r="C2006" s="1514">
        <f>IF(D1994="","-",+C2005+1)</f>
        <v>2025</v>
      </c>
      <c r="D2006" s="1545">
        <f t="shared" si="198"/>
        <v>0</v>
      </c>
      <c r="E2006" s="1519">
        <f t="shared" si="199"/>
        <v>0</v>
      </c>
      <c r="F2006" s="1519">
        <f t="shared" si="192"/>
        <v>0</v>
      </c>
      <c r="G2006" s="1474">
        <f t="shared" si="193"/>
        <v>0</v>
      </c>
      <c r="H2006" s="1515">
        <f>+J1995*G2006+E2006</f>
        <v>0</v>
      </c>
      <c r="I2006" s="1520">
        <f>+J1996*G2006+E2006</f>
        <v>0</v>
      </c>
      <c r="J2006" s="1518">
        <f t="shared" si="194"/>
        <v>0</v>
      </c>
      <c r="K2006" s="1518"/>
      <c r="L2006" s="1521">
        <v>0</v>
      </c>
      <c r="M2006" s="1518">
        <f t="shared" si="195"/>
        <v>0</v>
      </c>
      <c r="N2006" s="1521">
        <v>0</v>
      </c>
      <c r="O2006" s="1518">
        <f t="shared" si="196"/>
        <v>0</v>
      </c>
      <c r="P2006" s="1518">
        <f t="shared" si="197"/>
        <v>0</v>
      </c>
    </row>
    <row r="2007" spans="1:16">
      <c r="A2007" s="1457"/>
      <c r="B2007" s="1457"/>
      <c r="C2007" s="1514">
        <f>IF(D1994="","-",+C2006+1)</f>
        <v>2026</v>
      </c>
      <c r="D2007" s="1474">
        <f t="shared" si="198"/>
        <v>0</v>
      </c>
      <c r="E2007" s="1519">
        <f t="shared" si="199"/>
        <v>0</v>
      </c>
      <c r="F2007" s="1519">
        <f t="shared" si="192"/>
        <v>0</v>
      </c>
      <c r="G2007" s="1474">
        <f t="shared" si="193"/>
        <v>0</v>
      </c>
      <c r="H2007" s="1515">
        <f>+J1995*G2007+E2007</f>
        <v>0</v>
      </c>
      <c r="I2007" s="1520">
        <f>+J1996*G2007+E2007</f>
        <v>0</v>
      </c>
      <c r="J2007" s="1518">
        <f t="shared" si="194"/>
        <v>0</v>
      </c>
      <c r="K2007" s="1518"/>
      <c r="L2007" s="1521">
        <v>0</v>
      </c>
      <c r="M2007" s="1518">
        <f t="shared" si="195"/>
        <v>0</v>
      </c>
      <c r="N2007" s="1521">
        <v>0</v>
      </c>
      <c r="O2007" s="1518">
        <f t="shared" si="196"/>
        <v>0</v>
      </c>
      <c r="P2007" s="1518">
        <f t="shared" si="197"/>
        <v>0</v>
      </c>
    </row>
    <row r="2008" spans="1:16">
      <c r="A2008" s="1457"/>
      <c r="B2008" s="1457"/>
      <c r="C2008" s="1514">
        <f>IF(D1994="","-",+C2007+1)</f>
        <v>2027</v>
      </c>
      <c r="D2008" s="1474">
        <f t="shared" si="198"/>
        <v>0</v>
      </c>
      <c r="E2008" s="1519">
        <f t="shared" si="199"/>
        <v>0</v>
      </c>
      <c r="F2008" s="1519">
        <f t="shared" si="192"/>
        <v>0</v>
      </c>
      <c r="G2008" s="1474">
        <f t="shared" si="193"/>
        <v>0</v>
      </c>
      <c r="H2008" s="1515">
        <f>+J1995*G2008+E2008</f>
        <v>0</v>
      </c>
      <c r="I2008" s="1520">
        <f>+J1996*G2008+E2008</f>
        <v>0</v>
      </c>
      <c r="J2008" s="1518">
        <f t="shared" si="194"/>
        <v>0</v>
      </c>
      <c r="K2008" s="1518"/>
      <c r="L2008" s="1521">
        <v>0</v>
      </c>
      <c r="M2008" s="1518">
        <f t="shared" si="195"/>
        <v>0</v>
      </c>
      <c r="N2008" s="1521">
        <v>0</v>
      </c>
      <c r="O2008" s="1518">
        <f t="shared" si="196"/>
        <v>0</v>
      </c>
      <c r="P2008" s="1518">
        <f t="shared" si="197"/>
        <v>0</v>
      </c>
    </row>
    <row r="2009" spans="1:16">
      <c r="A2009" s="1457"/>
      <c r="B2009" s="1457"/>
      <c r="C2009" s="1547">
        <f>IF(D1994="","-",+C2008+1)</f>
        <v>2028</v>
      </c>
      <c r="D2009" s="1474">
        <f t="shared" si="198"/>
        <v>0</v>
      </c>
      <c r="E2009" s="1519">
        <f t="shared" si="199"/>
        <v>0</v>
      </c>
      <c r="F2009" s="1519">
        <f t="shared" si="192"/>
        <v>0</v>
      </c>
      <c r="G2009" s="1474">
        <f t="shared" si="193"/>
        <v>0</v>
      </c>
      <c r="H2009" s="1515">
        <f>+J1995*G2009+E2009</f>
        <v>0</v>
      </c>
      <c r="I2009" s="1520">
        <f>+J1996*G2009+E2009</f>
        <v>0</v>
      </c>
      <c r="J2009" s="1518">
        <f t="shared" si="194"/>
        <v>0</v>
      </c>
      <c r="K2009" s="1518"/>
      <c r="L2009" s="1521">
        <v>0</v>
      </c>
      <c r="M2009" s="1518">
        <f t="shared" si="195"/>
        <v>0</v>
      </c>
      <c r="N2009" s="1521">
        <v>0</v>
      </c>
      <c r="O2009" s="1518">
        <f t="shared" si="196"/>
        <v>0</v>
      </c>
      <c r="P2009" s="1518">
        <f t="shared" si="197"/>
        <v>0</v>
      </c>
    </row>
    <row r="2010" spans="1:16">
      <c r="A2010" s="1457"/>
      <c r="B2010" s="1457"/>
      <c r="C2010" s="1514">
        <f>IF(D1994="","-",+C2009+1)</f>
        <v>2029</v>
      </c>
      <c r="D2010" s="1474">
        <f t="shared" si="198"/>
        <v>0</v>
      </c>
      <c r="E2010" s="1519">
        <f t="shared" si="199"/>
        <v>0</v>
      </c>
      <c r="F2010" s="1519">
        <f t="shared" si="192"/>
        <v>0</v>
      </c>
      <c r="G2010" s="1474">
        <f t="shared" si="193"/>
        <v>0</v>
      </c>
      <c r="H2010" s="1515">
        <f>+J1995*G2010+E2010</f>
        <v>0</v>
      </c>
      <c r="I2010" s="1520">
        <f>+J1996*G2010+E2010</f>
        <v>0</v>
      </c>
      <c r="J2010" s="1518">
        <f t="shared" si="194"/>
        <v>0</v>
      </c>
      <c r="K2010" s="1518"/>
      <c r="L2010" s="1521"/>
      <c r="M2010" s="1518">
        <f t="shared" si="195"/>
        <v>0</v>
      </c>
      <c r="N2010" s="1521"/>
      <c r="O2010" s="1518">
        <f t="shared" si="196"/>
        <v>0</v>
      </c>
      <c r="P2010" s="1518">
        <f t="shared" si="197"/>
        <v>0</v>
      </c>
    </row>
    <row r="2011" spans="1:16">
      <c r="A2011" s="1457"/>
      <c r="B2011" s="1457"/>
      <c r="C2011" s="1514">
        <f>IF(D1994="","-",+C2010+1)</f>
        <v>2030</v>
      </c>
      <c r="D2011" s="1474">
        <f t="shared" si="198"/>
        <v>0</v>
      </c>
      <c r="E2011" s="1519">
        <f t="shared" si="199"/>
        <v>0</v>
      </c>
      <c r="F2011" s="1519">
        <f t="shared" si="192"/>
        <v>0</v>
      </c>
      <c r="G2011" s="1474">
        <f t="shared" si="193"/>
        <v>0</v>
      </c>
      <c r="H2011" s="1515">
        <f>+J1995*G2011+E2011</f>
        <v>0</v>
      </c>
      <c r="I2011" s="1520">
        <f>+J1996*G2011+E2011</f>
        <v>0</v>
      </c>
      <c r="J2011" s="1518">
        <f t="shared" si="194"/>
        <v>0</v>
      </c>
      <c r="K2011" s="1518"/>
      <c r="L2011" s="1521"/>
      <c r="M2011" s="1518">
        <f t="shared" si="195"/>
        <v>0</v>
      </c>
      <c r="N2011" s="1521"/>
      <c r="O2011" s="1518">
        <f t="shared" si="196"/>
        <v>0</v>
      </c>
      <c r="P2011" s="1518">
        <f t="shared" si="197"/>
        <v>0</v>
      </c>
    </row>
    <row r="2012" spans="1:16">
      <c r="A2012" s="1457"/>
      <c r="B2012" s="1457"/>
      <c r="C2012" s="1514">
        <f>IF(D1994="","-",+C2011+1)</f>
        <v>2031</v>
      </c>
      <c r="D2012" s="1474">
        <f t="shared" si="198"/>
        <v>0</v>
      </c>
      <c r="E2012" s="1519">
        <f t="shared" si="199"/>
        <v>0</v>
      </c>
      <c r="F2012" s="1519">
        <f t="shared" si="192"/>
        <v>0</v>
      </c>
      <c r="G2012" s="1474">
        <f t="shared" si="193"/>
        <v>0</v>
      </c>
      <c r="H2012" s="1515">
        <f>+J1995*G2012+E2012</f>
        <v>0</v>
      </c>
      <c r="I2012" s="1520">
        <f>+J1996*G2012+E2012</f>
        <v>0</v>
      </c>
      <c r="J2012" s="1518">
        <f t="shared" si="194"/>
        <v>0</v>
      </c>
      <c r="K2012" s="1518"/>
      <c r="L2012" s="1521"/>
      <c r="M2012" s="1518">
        <f t="shared" si="195"/>
        <v>0</v>
      </c>
      <c r="N2012" s="1521"/>
      <c r="O2012" s="1518">
        <f t="shared" si="196"/>
        <v>0</v>
      </c>
      <c r="P2012" s="1518">
        <f t="shared" si="197"/>
        <v>0</v>
      </c>
    </row>
    <row r="2013" spans="1:16">
      <c r="A2013" s="1457"/>
      <c r="B2013" s="1457"/>
      <c r="C2013" s="1514">
        <f>IF(D1994="","-",+C2012+1)</f>
        <v>2032</v>
      </c>
      <c r="D2013" s="1474">
        <f t="shared" si="198"/>
        <v>0</v>
      </c>
      <c r="E2013" s="1519">
        <f t="shared" si="199"/>
        <v>0</v>
      </c>
      <c r="F2013" s="1519">
        <f t="shared" si="192"/>
        <v>0</v>
      </c>
      <c r="G2013" s="1474">
        <f t="shared" si="193"/>
        <v>0</v>
      </c>
      <c r="H2013" s="1515">
        <f>+J1995*G2013+E2013</f>
        <v>0</v>
      </c>
      <c r="I2013" s="1520">
        <f>+J1996*G2013+E2013</f>
        <v>0</v>
      </c>
      <c r="J2013" s="1518">
        <f t="shared" si="194"/>
        <v>0</v>
      </c>
      <c r="K2013" s="1518"/>
      <c r="L2013" s="1521"/>
      <c r="M2013" s="1518">
        <f t="shared" si="195"/>
        <v>0</v>
      </c>
      <c r="N2013" s="1521"/>
      <c r="O2013" s="1518">
        <f t="shared" si="196"/>
        <v>0</v>
      </c>
      <c r="P2013" s="1518">
        <f t="shared" si="197"/>
        <v>0</v>
      </c>
    </row>
    <row r="2014" spans="1:16">
      <c r="A2014" s="1457"/>
      <c r="B2014" s="1457"/>
      <c r="C2014" s="1514">
        <f>IF(D1994="","-",+C2013+1)</f>
        <v>2033</v>
      </c>
      <c r="D2014" s="1474">
        <f t="shared" si="198"/>
        <v>0</v>
      </c>
      <c r="E2014" s="1519">
        <f t="shared" si="199"/>
        <v>0</v>
      </c>
      <c r="F2014" s="1519">
        <f t="shared" si="192"/>
        <v>0</v>
      </c>
      <c r="G2014" s="1474">
        <f t="shared" si="193"/>
        <v>0</v>
      </c>
      <c r="H2014" s="1515">
        <f>+J1995*G2014+E2014</f>
        <v>0</v>
      </c>
      <c r="I2014" s="1520">
        <f>+J1996*G2014+E2014</f>
        <v>0</v>
      </c>
      <c r="J2014" s="1518">
        <f t="shared" si="194"/>
        <v>0</v>
      </c>
      <c r="K2014" s="1518"/>
      <c r="L2014" s="1521"/>
      <c r="M2014" s="1518">
        <f t="shared" si="195"/>
        <v>0</v>
      </c>
      <c r="N2014" s="1521"/>
      <c r="O2014" s="1518">
        <f t="shared" si="196"/>
        <v>0</v>
      </c>
      <c r="P2014" s="1518">
        <f t="shared" si="197"/>
        <v>0</v>
      </c>
    </row>
    <row r="2015" spans="1:16">
      <c r="A2015" s="1457"/>
      <c r="B2015" s="1457"/>
      <c r="C2015" s="1514">
        <f>IF(D1994="","-",+C2014+1)</f>
        <v>2034</v>
      </c>
      <c r="D2015" s="1474">
        <f t="shared" si="198"/>
        <v>0</v>
      </c>
      <c r="E2015" s="1519">
        <f t="shared" si="199"/>
        <v>0</v>
      </c>
      <c r="F2015" s="1519">
        <f t="shared" si="192"/>
        <v>0</v>
      </c>
      <c r="G2015" s="1474">
        <f t="shared" si="193"/>
        <v>0</v>
      </c>
      <c r="H2015" s="1515">
        <f>+J1995*G2015+E2015</f>
        <v>0</v>
      </c>
      <c r="I2015" s="1520">
        <f>+J1996*G2015+E2015</f>
        <v>0</v>
      </c>
      <c r="J2015" s="1518">
        <f t="shared" si="194"/>
        <v>0</v>
      </c>
      <c r="K2015" s="1518"/>
      <c r="L2015" s="1521"/>
      <c r="M2015" s="1518">
        <f t="shared" si="195"/>
        <v>0</v>
      </c>
      <c r="N2015" s="1521"/>
      <c r="O2015" s="1518">
        <f t="shared" si="196"/>
        <v>0</v>
      </c>
      <c r="P2015" s="1518">
        <f t="shared" si="197"/>
        <v>0</v>
      </c>
    </row>
    <row r="2016" spans="1:16">
      <c r="A2016" s="1457"/>
      <c r="B2016" s="1457"/>
      <c r="C2016" s="1514">
        <f>IF(D1994="","-",+C2015+1)</f>
        <v>2035</v>
      </c>
      <c r="D2016" s="1474">
        <f t="shared" si="198"/>
        <v>0</v>
      </c>
      <c r="E2016" s="1519">
        <f t="shared" si="199"/>
        <v>0</v>
      </c>
      <c r="F2016" s="1519">
        <f t="shared" si="192"/>
        <v>0</v>
      </c>
      <c r="G2016" s="1474">
        <f t="shared" si="193"/>
        <v>0</v>
      </c>
      <c r="H2016" s="1515">
        <f>+J1995*G2016+E2016</f>
        <v>0</v>
      </c>
      <c r="I2016" s="1520">
        <f>+J1996*G2016+E2016</f>
        <v>0</v>
      </c>
      <c r="J2016" s="1518">
        <f t="shared" si="194"/>
        <v>0</v>
      </c>
      <c r="K2016" s="1518"/>
      <c r="L2016" s="1521"/>
      <c r="M2016" s="1518">
        <f t="shared" si="195"/>
        <v>0</v>
      </c>
      <c r="N2016" s="1521"/>
      <c r="O2016" s="1518">
        <f t="shared" si="196"/>
        <v>0</v>
      </c>
      <c r="P2016" s="1518">
        <f t="shared" si="197"/>
        <v>0</v>
      </c>
    </row>
    <row r="2017" spans="1:16">
      <c r="A2017" s="1457"/>
      <c r="B2017" s="1457"/>
      <c r="C2017" s="1514">
        <f>IF(D1994="","-",+C2016+1)</f>
        <v>2036</v>
      </c>
      <c r="D2017" s="1474">
        <f t="shared" si="198"/>
        <v>0</v>
      </c>
      <c r="E2017" s="1519">
        <f t="shared" si="199"/>
        <v>0</v>
      </c>
      <c r="F2017" s="1519">
        <f t="shared" si="192"/>
        <v>0</v>
      </c>
      <c r="G2017" s="1474">
        <f t="shared" si="193"/>
        <v>0</v>
      </c>
      <c r="H2017" s="1515">
        <f>+J1995*G2017+E2017</f>
        <v>0</v>
      </c>
      <c r="I2017" s="1520">
        <f>+J1996*G2017+E2017</f>
        <v>0</v>
      </c>
      <c r="J2017" s="1518">
        <f t="shared" si="194"/>
        <v>0</v>
      </c>
      <c r="K2017" s="1518"/>
      <c r="L2017" s="1521"/>
      <c r="M2017" s="1518">
        <f t="shared" si="195"/>
        <v>0</v>
      </c>
      <c r="N2017" s="1521"/>
      <c r="O2017" s="1518">
        <f t="shared" si="196"/>
        <v>0</v>
      </c>
      <c r="P2017" s="1518">
        <f t="shared" si="197"/>
        <v>0</v>
      </c>
    </row>
    <row r="2018" spans="1:16">
      <c r="A2018" s="1457"/>
      <c r="B2018" s="1457"/>
      <c r="C2018" s="1514">
        <f>IF(D1994="","-",+C2017+1)</f>
        <v>2037</v>
      </c>
      <c r="D2018" s="1474">
        <f t="shared" si="198"/>
        <v>0</v>
      </c>
      <c r="E2018" s="1519">
        <f t="shared" si="199"/>
        <v>0</v>
      </c>
      <c r="F2018" s="1519">
        <f t="shared" si="192"/>
        <v>0</v>
      </c>
      <c r="G2018" s="1474">
        <f t="shared" si="193"/>
        <v>0</v>
      </c>
      <c r="H2018" s="1515">
        <f>+J1995*G2018+E2018</f>
        <v>0</v>
      </c>
      <c r="I2018" s="1520">
        <f>+J1996*G2018+E2018</f>
        <v>0</v>
      </c>
      <c r="J2018" s="1518">
        <f t="shared" si="194"/>
        <v>0</v>
      </c>
      <c r="K2018" s="1518"/>
      <c r="L2018" s="1521"/>
      <c r="M2018" s="1518">
        <f t="shared" si="195"/>
        <v>0</v>
      </c>
      <c r="N2018" s="1521"/>
      <c r="O2018" s="1518">
        <f t="shared" si="196"/>
        <v>0</v>
      </c>
      <c r="P2018" s="1518">
        <f t="shared" si="197"/>
        <v>0</v>
      </c>
    </row>
    <row r="2019" spans="1:16">
      <c r="A2019" s="1457"/>
      <c r="B2019" s="1457"/>
      <c r="C2019" s="1514">
        <f>IF(D1994="","-",+C2018+1)</f>
        <v>2038</v>
      </c>
      <c r="D2019" s="1474">
        <f t="shared" si="198"/>
        <v>0</v>
      </c>
      <c r="E2019" s="1519">
        <f t="shared" si="199"/>
        <v>0</v>
      </c>
      <c r="F2019" s="1519">
        <f t="shared" si="192"/>
        <v>0</v>
      </c>
      <c r="G2019" s="1474">
        <f t="shared" si="193"/>
        <v>0</v>
      </c>
      <c r="H2019" s="1515">
        <f>+J1995*G2019+E2019</f>
        <v>0</v>
      </c>
      <c r="I2019" s="1520">
        <f>+J1996*G2019+E2019</f>
        <v>0</v>
      </c>
      <c r="J2019" s="1518">
        <f t="shared" si="194"/>
        <v>0</v>
      </c>
      <c r="K2019" s="1518"/>
      <c r="L2019" s="1521"/>
      <c r="M2019" s="1518">
        <f t="shared" si="195"/>
        <v>0</v>
      </c>
      <c r="N2019" s="1521"/>
      <c r="O2019" s="1518">
        <f t="shared" si="196"/>
        <v>0</v>
      </c>
      <c r="P2019" s="1518">
        <f t="shared" si="197"/>
        <v>0</v>
      </c>
    </row>
    <row r="2020" spans="1:16">
      <c r="A2020" s="1457"/>
      <c r="B2020" s="1457"/>
      <c r="C2020" s="1514">
        <f>IF(D1994="","-",+C2019+1)</f>
        <v>2039</v>
      </c>
      <c r="D2020" s="1474">
        <f t="shared" si="198"/>
        <v>0</v>
      </c>
      <c r="E2020" s="1519">
        <f t="shared" si="199"/>
        <v>0</v>
      </c>
      <c r="F2020" s="1519">
        <f t="shared" si="192"/>
        <v>0</v>
      </c>
      <c r="G2020" s="1474">
        <f t="shared" si="193"/>
        <v>0</v>
      </c>
      <c r="H2020" s="1515">
        <f>+J1995*G2020+E2020</f>
        <v>0</v>
      </c>
      <c r="I2020" s="1520">
        <f>+J1996*G2020+E2020</f>
        <v>0</v>
      </c>
      <c r="J2020" s="1518">
        <f t="shared" si="194"/>
        <v>0</v>
      </c>
      <c r="K2020" s="1518"/>
      <c r="L2020" s="1521"/>
      <c r="M2020" s="1518">
        <f t="shared" si="195"/>
        <v>0</v>
      </c>
      <c r="N2020" s="1521"/>
      <c r="O2020" s="1518">
        <f t="shared" si="196"/>
        <v>0</v>
      </c>
      <c r="P2020" s="1518">
        <f t="shared" si="197"/>
        <v>0</v>
      </c>
    </row>
    <row r="2021" spans="1:16">
      <c r="A2021" s="1457"/>
      <c r="B2021" s="1457"/>
      <c r="C2021" s="1514">
        <f>IF(D1994="","-",+C2020+1)</f>
        <v>2040</v>
      </c>
      <c r="D2021" s="1474">
        <f t="shared" si="198"/>
        <v>0</v>
      </c>
      <c r="E2021" s="1519">
        <f t="shared" si="199"/>
        <v>0</v>
      </c>
      <c r="F2021" s="1519">
        <f t="shared" si="192"/>
        <v>0</v>
      </c>
      <c r="G2021" s="1474">
        <f t="shared" si="193"/>
        <v>0</v>
      </c>
      <c r="H2021" s="1515">
        <f>+J1995*G2021+E2021</f>
        <v>0</v>
      </c>
      <c r="I2021" s="1520">
        <f>+J1996*G2021+E2021</f>
        <v>0</v>
      </c>
      <c r="J2021" s="1518">
        <f t="shared" si="194"/>
        <v>0</v>
      </c>
      <c r="K2021" s="1518"/>
      <c r="L2021" s="1521"/>
      <c r="M2021" s="1518">
        <f t="shared" si="195"/>
        <v>0</v>
      </c>
      <c r="N2021" s="1521"/>
      <c r="O2021" s="1518">
        <f t="shared" si="196"/>
        <v>0</v>
      </c>
      <c r="P2021" s="1518">
        <f t="shared" si="197"/>
        <v>0</v>
      </c>
    </row>
    <row r="2022" spans="1:16">
      <c r="A2022" s="1457"/>
      <c r="B2022" s="1457"/>
      <c r="C2022" s="1514">
        <f>IF(D1994="","-",+C2021+1)</f>
        <v>2041</v>
      </c>
      <c r="D2022" s="1474">
        <f t="shared" si="198"/>
        <v>0</v>
      </c>
      <c r="E2022" s="1519">
        <f t="shared" si="199"/>
        <v>0</v>
      </c>
      <c r="F2022" s="1519">
        <f t="shared" si="192"/>
        <v>0</v>
      </c>
      <c r="G2022" s="1474">
        <f t="shared" si="193"/>
        <v>0</v>
      </c>
      <c r="H2022" s="1515">
        <f>+J1995*G2022+E2022</f>
        <v>0</v>
      </c>
      <c r="I2022" s="1520">
        <f>+J1996*G2022+E2022</f>
        <v>0</v>
      </c>
      <c r="J2022" s="1518">
        <f t="shared" si="194"/>
        <v>0</v>
      </c>
      <c r="K2022" s="1518"/>
      <c r="L2022" s="1521"/>
      <c r="M2022" s="1518">
        <f t="shared" si="195"/>
        <v>0</v>
      </c>
      <c r="N2022" s="1521"/>
      <c r="O2022" s="1518">
        <f t="shared" si="196"/>
        <v>0</v>
      </c>
      <c r="P2022" s="1518">
        <f t="shared" si="197"/>
        <v>0</v>
      </c>
    </row>
    <row r="2023" spans="1:16">
      <c r="A2023" s="1457"/>
      <c r="B2023" s="1457"/>
      <c r="C2023" s="1514">
        <f>IF(D1994="","-",+C2022+1)</f>
        <v>2042</v>
      </c>
      <c r="D2023" s="1474">
        <f t="shared" si="198"/>
        <v>0</v>
      </c>
      <c r="E2023" s="1519">
        <f t="shared" si="199"/>
        <v>0</v>
      </c>
      <c r="F2023" s="1519">
        <f t="shared" si="192"/>
        <v>0</v>
      </c>
      <c r="G2023" s="1474">
        <f t="shared" si="193"/>
        <v>0</v>
      </c>
      <c r="H2023" s="1515">
        <f>+J1995*G2023+E2023</f>
        <v>0</v>
      </c>
      <c r="I2023" s="1520">
        <f>+J1996*G2023+E2023</f>
        <v>0</v>
      </c>
      <c r="J2023" s="1518">
        <f t="shared" si="194"/>
        <v>0</v>
      </c>
      <c r="K2023" s="1518"/>
      <c r="L2023" s="1521"/>
      <c r="M2023" s="1518">
        <f t="shared" si="195"/>
        <v>0</v>
      </c>
      <c r="N2023" s="1521"/>
      <c r="O2023" s="1518">
        <f t="shared" si="196"/>
        <v>0</v>
      </c>
      <c r="P2023" s="1518">
        <f t="shared" si="197"/>
        <v>0</v>
      </c>
    </row>
    <row r="2024" spans="1:16">
      <c r="A2024" s="1457"/>
      <c r="B2024" s="1457"/>
      <c r="C2024" s="1514">
        <f>IF(D1994="","-",+C2023+1)</f>
        <v>2043</v>
      </c>
      <c r="D2024" s="1474">
        <f t="shared" si="198"/>
        <v>0</v>
      </c>
      <c r="E2024" s="1519">
        <f t="shared" si="199"/>
        <v>0</v>
      </c>
      <c r="F2024" s="1519">
        <f t="shared" si="192"/>
        <v>0</v>
      </c>
      <c r="G2024" s="1474">
        <f t="shared" si="193"/>
        <v>0</v>
      </c>
      <c r="H2024" s="1515">
        <f>+J1995*G2024+E2024</f>
        <v>0</v>
      </c>
      <c r="I2024" s="1520">
        <f>+J1996*G2024+E2024</f>
        <v>0</v>
      </c>
      <c r="J2024" s="1518">
        <f t="shared" si="194"/>
        <v>0</v>
      </c>
      <c r="K2024" s="1518"/>
      <c r="L2024" s="1521"/>
      <c r="M2024" s="1518">
        <f t="shared" si="195"/>
        <v>0</v>
      </c>
      <c r="N2024" s="1521"/>
      <c r="O2024" s="1518">
        <f t="shared" si="196"/>
        <v>0</v>
      </c>
      <c r="P2024" s="1518">
        <f t="shared" si="197"/>
        <v>0</v>
      </c>
    </row>
    <row r="2025" spans="1:16">
      <c r="A2025" s="1457"/>
      <c r="B2025" s="1457"/>
      <c r="C2025" s="1514">
        <f>IF(D1994="","-",+C2024+1)</f>
        <v>2044</v>
      </c>
      <c r="D2025" s="1474">
        <f t="shared" si="198"/>
        <v>0</v>
      </c>
      <c r="E2025" s="1519">
        <f t="shared" si="199"/>
        <v>0</v>
      </c>
      <c r="F2025" s="1519">
        <f t="shared" si="192"/>
        <v>0</v>
      </c>
      <c r="G2025" s="1474">
        <f t="shared" si="193"/>
        <v>0</v>
      </c>
      <c r="H2025" s="1515">
        <f>+J1995*G2025+E2025</f>
        <v>0</v>
      </c>
      <c r="I2025" s="1520">
        <f>+J1996*G2025+E2025</f>
        <v>0</v>
      </c>
      <c r="J2025" s="1518">
        <f t="shared" si="194"/>
        <v>0</v>
      </c>
      <c r="K2025" s="1518"/>
      <c r="L2025" s="1521"/>
      <c r="M2025" s="1518">
        <f t="shared" si="195"/>
        <v>0</v>
      </c>
      <c r="N2025" s="1521"/>
      <c r="O2025" s="1518">
        <f t="shared" si="196"/>
        <v>0</v>
      </c>
      <c r="P2025" s="1518">
        <f t="shared" si="197"/>
        <v>0</v>
      </c>
    </row>
    <row r="2026" spans="1:16">
      <c r="A2026" s="1457"/>
      <c r="B2026" s="1457"/>
      <c r="C2026" s="1514">
        <f>IF(D1994="","-",+C2025+1)</f>
        <v>2045</v>
      </c>
      <c r="D2026" s="1474">
        <f t="shared" si="198"/>
        <v>0</v>
      </c>
      <c r="E2026" s="1519">
        <f t="shared" si="199"/>
        <v>0</v>
      </c>
      <c r="F2026" s="1519">
        <f t="shared" si="192"/>
        <v>0</v>
      </c>
      <c r="G2026" s="1474">
        <f t="shared" si="193"/>
        <v>0</v>
      </c>
      <c r="H2026" s="1515">
        <f>+J1995*G2026+E2026</f>
        <v>0</v>
      </c>
      <c r="I2026" s="1520">
        <f>+J1996*G2026+E2026</f>
        <v>0</v>
      </c>
      <c r="J2026" s="1518">
        <f t="shared" si="194"/>
        <v>0</v>
      </c>
      <c r="K2026" s="1518"/>
      <c r="L2026" s="1521"/>
      <c r="M2026" s="1518">
        <f t="shared" si="195"/>
        <v>0</v>
      </c>
      <c r="N2026" s="1521"/>
      <c r="O2026" s="1518">
        <f t="shared" si="196"/>
        <v>0</v>
      </c>
      <c r="P2026" s="1518">
        <f t="shared" si="197"/>
        <v>0</v>
      </c>
    </row>
    <row r="2027" spans="1:16">
      <c r="A2027" s="1457"/>
      <c r="B2027" s="1457"/>
      <c r="C2027" s="1514">
        <f>IF(D1994="","-",+C2026+1)</f>
        <v>2046</v>
      </c>
      <c r="D2027" s="1474">
        <f t="shared" si="198"/>
        <v>0</v>
      </c>
      <c r="E2027" s="1519">
        <f t="shared" si="199"/>
        <v>0</v>
      </c>
      <c r="F2027" s="1519">
        <f t="shared" si="192"/>
        <v>0</v>
      </c>
      <c r="G2027" s="1474">
        <f t="shared" si="193"/>
        <v>0</v>
      </c>
      <c r="H2027" s="1515">
        <f>+J1995*G2027+E2027</f>
        <v>0</v>
      </c>
      <c r="I2027" s="1520">
        <f>+J1996*G2027+E2027</f>
        <v>0</v>
      </c>
      <c r="J2027" s="1518">
        <f t="shared" si="194"/>
        <v>0</v>
      </c>
      <c r="K2027" s="1518"/>
      <c r="L2027" s="1521"/>
      <c r="M2027" s="1518">
        <f t="shared" si="195"/>
        <v>0</v>
      </c>
      <c r="N2027" s="1521"/>
      <c r="O2027" s="1518">
        <f t="shared" si="196"/>
        <v>0</v>
      </c>
      <c r="P2027" s="1518">
        <f t="shared" si="197"/>
        <v>0</v>
      </c>
    </row>
    <row r="2028" spans="1:16">
      <c r="A2028" s="1457"/>
      <c r="B2028" s="1457"/>
      <c r="C2028" s="1514">
        <f>IF(D1994="","-",+C2027+1)</f>
        <v>2047</v>
      </c>
      <c r="D2028" s="1474">
        <f t="shared" si="198"/>
        <v>0</v>
      </c>
      <c r="E2028" s="1519">
        <f t="shared" si="199"/>
        <v>0</v>
      </c>
      <c r="F2028" s="1519">
        <f t="shared" si="192"/>
        <v>0</v>
      </c>
      <c r="G2028" s="1474">
        <f t="shared" si="193"/>
        <v>0</v>
      </c>
      <c r="H2028" s="1515">
        <f>+J1995*G2028+E2028</f>
        <v>0</v>
      </c>
      <c r="I2028" s="1520">
        <f>+J1996*G2028+E2028</f>
        <v>0</v>
      </c>
      <c r="J2028" s="1518">
        <f t="shared" si="194"/>
        <v>0</v>
      </c>
      <c r="K2028" s="1518"/>
      <c r="L2028" s="1521"/>
      <c r="M2028" s="1518">
        <f t="shared" si="195"/>
        <v>0</v>
      </c>
      <c r="N2028" s="1521"/>
      <c r="O2028" s="1518">
        <f t="shared" si="196"/>
        <v>0</v>
      </c>
      <c r="P2028" s="1518">
        <f t="shared" si="197"/>
        <v>0</v>
      </c>
    </row>
    <row r="2029" spans="1:16">
      <c r="A2029" s="1457"/>
      <c r="B2029" s="1457"/>
      <c r="C2029" s="1514">
        <f>IF(D1994="","-",+C2028+1)</f>
        <v>2048</v>
      </c>
      <c r="D2029" s="1474">
        <f t="shared" si="198"/>
        <v>0</v>
      </c>
      <c r="E2029" s="1519">
        <f t="shared" si="199"/>
        <v>0</v>
      </c>
      <c r="F2029" s="1519">
        <f t="shared" si="192"/>
        <v>0</v>
      </c>
      <c r="G2029" s="1474">
        <f t="shared" si="193"/>
        <v>0</v>
      </c>
      <c r="H2029" s="1515">
        <f>+J1995*G2029+E2029</f>
        <v>0</v>
      </c>
      <c r="I2029" s="1520">
        <f>+J1996*G2029+E2029</f>
        <v>0</v>
      </c>
      <c r="J2029" s="1518">
        <f t="shared" si="194"/>
        <v>0</v>
      </c>
      <c r="K2029" s="1518"/>
      <c r="L2029" s="1521"/>
      <c r="M2029" s="1518">
        <f t="shared" si="195"/>
        <v>0</v>
      </c>
      <c r="N2029" s="1521"/>
      <c r="O2029" s="1518">
        <f t="shared" si="196"/>
        <v>0</v>
      </c>
      <c r="P2029" s="1518">
        <f t="shared" si="197"/>
        <v>0</v>
      </c>
    </row>
    <row r="2030" spans="1:16">
      <c r="A2030" s="1457"/>
      <c r="B2030" s="1457"/>
      <c r="C2030" s="1514">
        <f>IF(D1994="","-",+C2029+1)</f>
        <v>2049</v>
      </c>
      <c r="D2030" s="1474">
        <f t="shared" si="198"/>
        <v>0</v>
      </c>
      <c r="E2030" s="1519">
        <f>IF(D2030&gt;$J$1997,$J$1997,D2030)</f>
        <v>0</v>
      </c>
      <c r="F2030" s="1519">
        <f t="shared" si="192"/>
        <v>0</v>
      </c>
      <c r="G2030" s="1474">
        <f t="shared" si="193"/>
        <v>0</v>
      </c>
      <c r="H2030" s="1515">
        <f>+J1995*G2030+E2030</f>
        <v>0</v>
      </c>
      <c r="I2030" s="1520">
        <f>+J1996*G2030+E2030</f>
        <v>0</v>
      </c>
      <c r="J2030" s="1518">
        <f t="shared" si="194"/>
        <v>0</v>
      </c>
      <c r="K2030" s="1518"/>
      <c r="L2030" s="1521"/>
      <c r="M2030" s="1518">
        <f t="shared" si="195"/>
        <v>0</v>
      </c>
      <c r="N2030" s="1521"/>
      <c r="O2030" s="1518">
        <f t="shared" si="196"/>
        <v>0</v>
      </c>
      <c r="P2030" s="1518">
        <f t="shared" si="197"/>
        <v>0</v>
      </c>
    </row>
    <row r="2031" spans="1:16">
      <c r="A2031" s="1457"/>
      <c r="B2031" s="1457"/>
      <c r="C2031" s="1514">
        <f>IF(D1994="","-",+C2030+1)</f>
        <v>2050</v>
      </c>
      <c r="D2031" s="1474">
        <f t="shared" si="198"/>
        <v>0</v>
      </c>
      <c r="E2031" s="1519">
        <f t="shared" si="199"/>
        <v>0</v>
      </c>
      <c r="F2031" s="1519">
        <f t="shared" si="192"/>
        <v>0</v>
      </c>
      <c r="G2031" s="1474">
        <f t="shared" si="193"/>
        <v>0</v>
      </c>
      <c r="H2031" s="1515">
        <f>+J1995*G2031+E2031</f>
        <v>0</v>
      </c>
      <c r="I2031" s="1520">
        <f>+J1996*G2031+E2031</f>
        <v>0</v>
      </c>
      <c r="J2031" s="1518">
        <f t="shared" si="194"/>
        <v>0</v>
      </c>
      <c r="K2031" s="1518"/>
      <c r="L2031" s="1521"/>
      <c r="M2031" s="1518">
        <f t="shared" si="195"/>
        <v>0</v>
      </c>
      <c r="N2031" s="1521"/>
      <c r="O2031" s="1518">
        <f t="shared" si="196"/>
        <v>0</v>
      </c>
      <c r="P2031" s="1518">
        <f t="shared" si="197"/>
        <v>0</v>
      </c>
    </row>
    <row r="2032" spans="1:16">
      <c r="A2032" s="1457"/>
      <c r="B2032" s="1457"/>
      <c r="C2032" s="1514">
        <f>IF(D1994="","-",+C2031+1)</f>
        <v>2051</v>
      </c>
      <c r="D2032" s="1474">
        <f t="shared" si="198"/>
        <v>0</v>
      </c>
      <c r="E2032" s="1519">
        <f t="shared" si="199"/>
        <v>0</v>
      </c>
      <c r="F2032" s="1519">
        <f t="shared" si="192"/>
        <v>0</v>
      </c>
      <c r="G2032" s="1474">
        <f t="shared" si="193"/>
        <v>0</v>
      </c>
      <c r="H2032" s="1515">
        <f>+J1995*G2032+E2032</f>
        <v>0</v>
      </c>
      <c r="I2032" s="1520">
        <f>+J1996*G2032+E2032</f>
        <v>0</v>
      </c>
      <c r="J2032" s="1518">
        <f t="shared" si="194"/>
        <v>0</v>
      </c>
      <c r="K2032" s="1518"/>
      <c r="L2032" s="1521"/>
      <c r="M2032" s="1518">
        <f t="shared" si="195"/>
        <v>0</v>
      </c>
      <c r="N2032" s="1521"/>
      <c r="O2032" s="1518">
        <f t="shared" si="196"/>
        <v>0</v>
      </c>
      <c r="P2032" s="1518">
        <f t="shared" si="197"/>
        <v>0</v>
      </c>
    </row>
    <row r="2033" spans="1:16">
      <c r="A2033" s="1457"/>
      <c r="B2033" s="1457"/>
      <c r="C2033" s="1514">
        <f>IF(D1994="","-",+C2032+1)</f>
        <v>2052</v>
      </c>
      <c r="D2033" s="1474">
        <f t="shared" si="198"/>
        <v>0</v>
      </c>
      <c r="E2033" s="1519">
        <f t="shared" si="199"/>
        <v>0</v>
      </c>
      <c r="F2033" s="1519">
        <f t="shared" si="192"/>
        <v>0</v>
      </c>
      <c r="G2033" s="1474">
        <f t="shared" si="193"/>
        <v>0</v>
      </c>
      <c r="H2033" s="1515">
        <f>+J1995*G2033+E2033</f>
        <v>0</v>
      </c>
      <c r="I2033" s="1520">
        <f>+J1996*G2033+E2033</f>
        <v>0</v>
      </c>
      <c r="J2033" s="1518">
        <f t="shared" si="194"/>
        <v>0</v>
      </c>
      <c r="K2033" s="1518"/>
      <c r="L2033" s="1521"/>
      <c r="M2033" s="1518">
        <f t="shared" si="195"/>
        <v>0</v>
      </c>
      <c r="N2033" s="1521"/>
      <c r="O2033" s="1518">
        <f t="shared" si="196"/>
        <v>0</v>
      </c>
      <c r="P2033" s="1518">
        <f t="shared" si="197"/>
        <v>0</v>
      </c>
    </row>
    <row r="2034" spans="1:16">
      <c r="A2034" s="1457"/>
      <c r="B2034" s="1457"/>
      <c r="C2034" s="1514">
        <f>IF(D1994="","-",+C2033+1)</f>
        <v>2053</v>
      </c>
      <c r="D2034" s="1474">
        <f t="shared" si="198"/>
        <v>0</v>
      </c>
      <c r="E2034" s="1519">
        <f t="shared" si="199"/>
        <v>0</v>
      </c>
      <c r="F2034" s="1519">
        <f t="shared" si="192"/>
        <v>0</v>
      </c>
      <c r="G2034" s="1474">
        <f t="shared" si="193"/>
        <v>0</v>
      </c>
      <c r="H2034" s="1515">
        <f>+J1995*G2034+E2034</f>
        <v>0</v>
      </c>
      <c r="I2034" s="1520">
        <f>+J1996*G2034+E2034</f>
        <v>0</v>
      </c>
      <c r="J2034" s="1518">
        <f t="shared" si="194"/>
        <v>0</v>
      </c>
      <c r="K2034" s="1518"/>
      <c r="L2034" s="1521"/>
      <c r="M2034" s="1518">
        <f t="shared" si="195"/>
        <v>0</v>
      </c>
      <c r="N2034" s="1521"/>
      <c r="O2034" s="1518">
        <f t="shared" si="196"/>
        <v>0</v>
      </c>
      <c r="P2034" s="1518">
        <f t="shared" si="197"/>
        <v>0</v>
      </c>
    </row>
    <row r="2035" spans="1:16">
      <c r="A2035" s="1457"/>
      <c r="B2035" s="1457"/>
      <c r="C2035" s="1514">
        <f>IF(D1994="","-",+C2034+1)</f>
        <v>2054</v>
      </c>
      <c r="D2035" s="1474">
        <f t="shared" si="198"/>
        <v>0</v>
      </c>
      <c r="E2035" s="1519">
        <f t="shared" si="199"/>
        <v>0</v>
      </c>
      <c r="F2035" s="1519">
        <f t="shared" si="192"/>
        <v>0</v>
      </c>
      <c r="G2035" s="1474">
        <f t="shared" si="193"/>
        <v>0</v>
      </c>
      <c r="H2035" s="1515">
        <f>+J1995*G2035+E2035</f>
        <v>0</v>
      </c>
      <c r="I2035" s="1520">
        <f>+J1996*G2035+E2035</f>
        <v>0</v>
      </c>
      <c r="J2035" s="1518">
        <f t="shared" si="194"/>
        <v>0</v>
      </c>
      <c r="K2035" s="1518"/>
      <c r="L2035" s="1521"/>
      <c r="M2035" s="1518">
        <f t="shared" si="195"/>
        <v>0</v>
      </c>
      <c r="N2035" s="1521"/>
      <c r="O2035" s="1518">
        <f t="shared" si="196"/>
        <v>0</v>
      </c>
      <c r="P2035" s="1518">
        <f t="shared" si="197"/>
        <v>0</v>
      </c>
    </row>
    <row r="2036" spans="1:16">
      <c r="A2036" s="1457"/>
      <c r="B2036" s="1457"/>
      <c r="C2036" s="1514">
        <f>IF(D1994="","-",+C2035+1)</f>
        <v>2055</v>
      </c>
      <c r="D2036" s="1474">
        <f t="shared" si="198"/>
        <v>0</v>
      </c>
      <c r="E2036" s="1519">
        <f t="shared" si="199"/>
        <v>0</v>
      </c>
      <c r="F2036" s="1519">
        <f t="shared" si="192"/>
        <v>0</v>
      </c>
      <c r="G2036" s="1474">
        <f t="shared" si="193"/>
        <v>0</v>
      </c>
      <c r="H2036" s="1515">
        <f>+J1995*G2036+E2036</f>
        <v>0</v>
      </c>
      <c r="I2036" s="1520">
        <f>+J1996*G2036+E2036</f>
        <v>0</v>
      </c>
      <c r="J2036" s="1518">
        <f t="shared" si="194"/>
        <v>0</v>
      </c>
      <c r="K2036" s="1518"/>
      <c r="L2036" s="1521"/>
      <c r="M2036" s="1518">
        <f t="shared" si="195"/>
        <v>0</v>
      </c>
      <c r="N2036" s="1521"/>
      <c r="O2036" s="1518">
        <f t="shared" si="196"/>
        <v>0</v>
      </c>
      <c r="P2036" s="1518">
        <f t="shared" si="197"/>
        <v>0</v>
      </c>
    </row>
    <row r="2037" spans="1:16">
      <c r="A2037" s="1457"/>
      <c r="B2037" s="1457"/>
      <c r="C2037" s="1514">
        <f>IF(D1994="","-",+C2036+1)</f>
        <v>2056</v>
      </c>
      <c r="D2037" s="1474">
        <f t="shared" si="198"/>
        <v>0</v>
      </c>
      <c r="E2037" s="1519">
        <f t="shared" si="199"/>
        <v>0</v>
      </c>
      <c r="F2037" s="1519">
        <f t="shared" si="192"/>
        <v>0</v>
      </c>
      <c r="G2037" s="1474">
        <f t="shared" si="193"/>
        <v>0</v>
      </c>
      <c r="H2037" s="1515">
        <f>+J1995*G2037+E2037</f>
        <v>0</v>
      </c>
      <c r="I2037" s="1520">
        <f>+J1996*G2037+E2037</f>
        <v>0</v>
      </c>
      <c r="J2037" s="1518">
        <f t="shared" si="194"/>
        <v>0</v>
      </c>
      <c r="K2037" s="1518"/>
      <c r="L2037" s="1521"/>
      <c r="M2037" s="1518">
        <f t="shared" si="195"/>
        <v>0</v>
      </c>
      <c r="N2037" s="1521"/>
      <c r="O2037" s="1518">
        <f t="shared" si="196"/>
        <v>0</v>
      </c>
      <c r="P2037" s="1518">
        <f t="shared" si="197"/>
        <v>0</v>
      </c>
    </row>
    <row r="2038" spans="1:16">
      <c r="A2038" s="1457"/>
      <c r="B2038" s="1457"/>
      <c r="C2038" s="1514">
        <f>IF(D1994="","-",+C2037+1)</f>
        <v>2057</v>
      </c>
      <c r="D2038" s="1474">
        <f t="shared" si="198"/>
        <v>0</v>
      </c>
      <c r="E2038" s="1519">
        <f t="shared" si="199"/>
        <v>0</v>
      </c>
      <c r="F2038" s="1519">
        <f t="shared" si="192"/>
        <v>0</v>
      </c>
      <c r="G2038" s="1474">
        <f t="shared" si="193"/>
        <v>0</v>
      </c>
      <c r="H2038" s="1515">
        <f>+J1995*G2038+E2038</f>
        <v>0</v>
      </c>
      <c r="I2038" s="1520">
        <f>+J1996*G2038+E2038</f>
        <v>0</v>
      </c>
      <c r="J2038" s="1518">
        <f t="shared" si="194"/>
        <v>0</v>
      </c>
      <c r="K2038" s="1518"/>
      <c r="L2038" s="1521"/>
      <c r="M2038" s="1518">
        <f t="shared" si="195"/>
        <v>0</v>
      </c>
      <c r="N2038" s="1521"/>
      <c r="O2038" s="1518">
        <f t="shared" si="196"/>
        <v>0</v>
      </c>
      <c r="P2038" s="1518">
        <f t="shared" si="197"/>
        <v>0</v>
      </c>
    </row>
    <row r="2039" spans="1:16">
      <c r="A2039" s="1457"/>
      <c r="B2039" s="1457"/>
      <c r="C2039" s="1514">
        <f>IF(D1994="","-",+C2038+1)</f>
        <v>2058</v>
      </c>
      <c r="D2039" s="1474">
        <f t="shared" si="198"/>
        <v>0</v>
      </c>
      <c r="E2039" s="1519">
        <f t="shared" si="199"/>
        <v>0</v>
      </c>
      <c r="F2039" s="1519">
        <f t="shared" si="192"/>
        <v>0</v>
      </c>
      <c r="G2039" s="1474">
        <f t="shared" si="193"/>
        <v>0</v>
      </c>
      <c r="H2039" s="1515">
        <f>+J1995*G2039+E2039</f>
        <v>0</v>
      </c>
      <c r="I2039" s="1520">
        <f>+J1996*G2039+E2039</f>
        <v>0</v>
      </c>
      <c r="J2039" s="1518">
        <f t="shared" si="194"/>
        <v>0</v>
      </c>
      <c r="K2039" s="1518"/>
      <c r="L2039" s="1521"/>
      <c r="M2039" s="1518">
        <f t="shared" si="195"/>
        <v>0</v>
      </c>
      <c r="N2039" s="1521"/>
      <c r="O2039" s="1518">
        <f t="shared" si="196"/>
        <v>0</v>
      </c>
      <c r="P2039" s="1518">
        <f t="shared" si="197"/>
        <v>0</v>
      </c>
    </row>
    <row r="2040" spans="1:16">
      <c r="A2040" s="1457"/>
      <c r="B2040" s="1457"/>
      <c r="C2040" s="1514">
        <f>IF(D1994="","-",+C2039+1)</f>
        <v>2059</v>
      </c>
      <c r="D2040" s="1474">
        <f t="shared" si="198"/>
        <v>0</v>
      </c>
      <c r="E2040" s="1519">
        <f t="shared" si="199"/>
        <v>0</v>
      </c>
      <c r="F2040" s="1519">
        <f t="shared" si="192"/>
        <v>0</v>
      </c>
      <c r="G2040" s="1474">
        <f t="shared" si="193"/>
        <v>0</v>
      </c>
      <c r="H2040" s="1515">
        <f>+J1995*G2040+E2040</f>
        <v>0</v>
      </c>
      <c r="I2040" s="1520">
        <f>+J1996*G2040+E2040</f>
        <v>0</v>
      </c>
      <c r="J2040" s="1518">
        <f t="shared" si="194"/>
        <v>0</v>
      </c>
      <c r="K2040" s="1518"/>
      <c r="L2040" s="1521"/>
      <c r="M2040" s="1518">
        <f t="shared" si="195"/>
        <v>0</v>
      </c>
      <c r="N2040" s="1521"/>
      <c r="O2040" s="1518">
        <f t="shared" si="196"/>
        <v>0</v>
      </c>
      <c r="P2040" s="1518">
        <f t="shared" si="197"/>
        <v>0</v>
      </c>
    </row>
    <row r="2041" spans="1:16">
      <c r="A2041" s="1457"/>
      <c r="B2041" s="1457"/>
      <c r="C2041" s="1514">
        <f>IF(D1994="","-",+C2040+1)</f>
        <v>2060</v>
      </c>
      <c r="D2041" s="1474">
        <f t="shared" si="198"/>
        <v>0</v>
      </c>
      <c r="E2041" s="1519">
        <f t="shared" si="199"/>
        <v>0</v>
      </c>
      <c r="F2041" s="1519">
        <f t="shared" si="192"/>
        <v>0</v>
      </c>
      <c r="G2041" s="1474">
        <f t="shared" si="193"/>
        <v>0</v>
      </c>
      <c r="H2041" s="1515">
        <f>+J1995*G2041+E2041</f>
        <v>0</v>
      </c>
      <c r="I2041" s="1520">
        <f>+J1996*G2041+E2041</f>
        <v>0</v>
      </c>
      <c r="J2041" s="1518">
        <f t="shared" si="194"/>
        <v>0</v>
      </c>
      <c r="K2041" s="1518"/>
      <c r="L2041" s="1521"/>
      <c r="M2041" s="1518">
        <f t="shared" si="195"/>
        <v>0</v>
      </c>
      <c r="N2041" s="1521"/>
      <c r="O2041" s="1518">
        <f t="shared" si="196"/>
        <v>0</v>
      </c>
      <c r="P2041" s="1518">
        <f t="shared" si="197"/>
        <v>0</v>
      </c>
    </row>
    <row r="2042" spans="1:16">
      <c r="A2042" s="1457"/>
      <c r="B2042" s="1457"/>
      <c r="C2042" s="1514">
        <f>IF(D1994="","-",+C2041+1)</f>
        <v>2061</v>
      </c>
      <c r="D2042" s="1474">
        <f t="shared" si="198"/>
        <v>0</v>
      </c>
      <c r="E2042" s="1519">
        <f t="shared" si="199"/>
        <v>0</v>
      </c>
      <c r="F2042" s="1519">
        <f t="shared" si="192"/>
        <v>0</v>
      </c>
      <c r="G2042" s="1474">
        <f t="shared" si="193"/>
        <v>0</v>
      </c>
      <c r="H2042" s="1515">
        <f>+J1995*G2042+E2042</f>
        <v>0</v>
      </c>
      <c r="I2042" s="1520">
        <f>+J1996*G2042+E2042</f>
        <v>0</v>
      </c>
      <c r="J2042" s="1518">
        <f t="shared" si="194"/>
        <v>0</v>
      </c>
      <c r="K2042" s="1518"/>
      <c r="L2042" s="1521"/>
      <c r="M2042" s="1518">
        <f t="shared" si="195"/>
        <v>0</v>
      </c>
      <c r="N2042" s="1521"/>
      <c r="O2042" s="1518">
        <f t="shared" si="196"/>
        <v>0</v>
      </c>
      <c r="P2042" s="1518">
        <f t="shared" si="197"/>
        <v>0</v>
      </c>
    </row>
    <row r="2043" spans="1:16">
      <c r="A2043" s="1457"/>
      <c r="B2043" s="1457"/>
      <c r="C2043" s="1514">
        <f>IF(D1994="","-",+C2042+1)</f>
        <v>2062</v>
      </c>
      <c r="D2043" s="1474">
        <f t="shared" si="198"/>
        <v>0</v>
      </c>
      <c r="E2043" s="1519">
        <f t="shared" si="199"/>
        <v>0</v>
      </c>
      <c r="F2043" s="1519">
        <f t="shared" si="192"/>
        <v>0</v>
      </c>
      <c r="G2043" s="1474">
        <f t="shared" si="193"/>
        <v>0</v>
      </c>
      <c r="H2043" s="1515">
        <f>+J1995*G2043+E2043</f>
        <v>0</v>
      </c>
      <c r="I2043" s="1520">
        <f>+J1996*G2043+E2043</f>
        <v>0</v>
      </c>
      <c r="J2043" s="1518">
        <f t="shared" si="194"/>
        <v>0</v>
      </c>
      <c r="K2043" s="1518"/>
      <c r="L2043" s="1521"/>
      <c r="M2043" s="1518">
        <f t="shared" si="195"/>
        <v>0</v>
      </c>
      <c r="N2043" s="1521"/>
      <c r="O2043" s="1518">
        <f t="shared" si="196"/>
        <v>0</v>
      </c>
      <c r="P2043" s="1518">
        <f t="shared" si="197"/>
        <v>0</v>
      </c>
    </row>
    <row r="2044" spans="1:16">
      <c r="A2044" s="1457"/>
      <c r="B2044" s="1457"/>
      <c r="C2044" s="1514">
        <f>IF(D1994="","-",+C2043+1)</f>
        <v>2063</v>
      </c>
      <c r="D2044" s="1474">
        <f t="shared" si="198"/>
        <v>0</v>
      </c>
      <c r="E2044" s="1519">
        <f t="shared" si="199"/>
        <v>0</v>
      </c>
      <c r="F2044" s="1519">
        <f t="shared" si="192"/>
        <v>0</v>
      </c>
      <c r="G2044" s="1474">
        <f t="shared" si="193"/>
        <v>0</v>
      </c>
      <c r="H2044" s="1515">
        <f>+J1995*G2044+E2044</f>
        <v>0</v>
      </c>
      <c r="I2044" s="1520">
        <f>+J1996*G2044+E2044</f>
        <v>0</v>
      </c>
      <c r="J2044" s="1518">
        <f t="shared" si="194"/>
        <v>0</v>
      </c>
      <c r="K2044" s="1518"/>
      <c r="L2044" s="1521"/>
      <c r="M2044" s="1518">
        <f t="shared" si="195"/>
        <v>0</v>
      </c>
      <c r="N2044" s="1521"/>
      <c r="O2044" s="1518">
        <f t="shared" si="196"/>
        <v>0</v>
      </c>
      <c r="P2044" s="1518">
        <f t="shared" si="197"/>
        <v>0</v>
      </c>
    </row>
    <row r="2045" spans="1:16">
      <c r="A2045" s="1457"/>
      <c r="B2045" s="1457"/>
      <c r="C2045" s="1514">
        <f>IF(D1994="","-",+C2044+1)</f>
        <v>2064</v>
      </c>
      <c r="D2045" s="1474">
        <f t="shared" si="198"/>
        <v>0</v>
      </c>
      <c r="E2045" s="1519">
        <f t="shared" si="199"/>
        <v>0</v>
      </c>
      <c r="F2045" s="1519">
        <f t="shared" si="192"/>
        <v>0</v>
      </c>
      <c r="G2045" s="1474">
        <f t="shared" si="193"/>
        <v>0</v>
      </c>
      <c r="H2045" s="1515">
        <f>+J1995*G2045+E2045</f>
        <v>0</v>
      </c>
      <c r="I2045" s="1520">
        <f>+J1996*G2045+E2045</f>
        <v>0</v>
      </c>
      <c r="J2045" s="1518">
        <f t="shared" si="194"/>
        <v>0</v>
      </c>
      <c r="K2045" s="1518"/>
      <c r="L2045" s="1521"/>
      <c r="M2045" s="1518">
        <f t="shared" si="195"/>
        <v>0</v>
      </c>
      <c r="N2045" s="1521"/>
      <c r="O2045" s="1518">
        <f t="shared" si="196"/>
        <v>0</v>
      </c>
      <c r="P2045" s="1518">
        <f t="shared" si="197"/>
        <v>0</v>
      </c>
    </row>
    <row r="2046" spans="1:16">
      <c r="A2046" s="1457"/>
      <c r="B2046" s="1457"/>
      <c r="C2046" s="1514">
        <f>IF(D1994="","-",+C2045+1)</f>
        <v>2065</v>
      </c>
      <c r="D2046" s="1474">
        <f t="shared" si="198"/>
        <v>0</v>
      </c>
      <c r="E2046" s="1519">
        <f t="shared" si="199"/>
        <v>0</v>
      </c>
      <c r="F2046" s="1519">
        <f t="shared" si="192"/>
        <v>0</v>
      </c>
      <c r="G2046" s="1474">
        <f t="shared" si="193"/>
        <v>0</v>
      </c>
      <c r="H2046" s="1515">
        <f>+J1995*G2046+E2046</f>
        <v>0</v>
      </c>
      <c r="I2046" s="1520">
        <f>+J1996*G2046+E2046</f>
        <v>0</v>
      </c>
      <c r="J2046" s="1518">
        <f t="shared" si="194"/>
        <v>0</v>
      </c>
      <c r="K2046" s="1518"/>
      <c r="L2046" s="1521"/>
      <c r="M2046" s="1518">
        <f t="shared" si="195"/>
        <v>0</v>
      </c>
      <c r="N2046" s="1521"/>
      <c r="O2046" s="1518">
        <f t="shared" si="196"/>
        <v>0</v>
      </c>
      <c r="P2046" s="1518">
        <f t="shared" si="197"/>
        <v>0</v>
      </c>
    </row>
    <row r="2047" spans="1:16">
      <c r="A2047" s="1457"/>
      <c r="B2047" s="1457"/>
      <c r="C2047" s="1514">
        <f>IF(D1994="","-",+C2046+1)</f>
        <v>2066</v>
      </c>
      <c r="D2047" s="1474">
        <f t="shared" si="198"/>
        <v>0</v>
      </c>
      <c r="E2047" s="1519">
        <f t="shared" si="199"/>
        <v>0</v>
      </c>
      <c r="F2047" s="1519">
        <f t="shared" si="192"/>
        <v>0</v>
      </c>
      <c r="G2047" s="1474">
        <f t="shared" si="193"/>
        <v>0</v>
      </c>
      <c r="H2047" s="1515">
        <f>+J1995*G2047+E2047</f>
        <v>0</v>
      </c>
      <c r="I2047" s="1520">
        <f>+J1996*G2047+E2047</f>
        <v>0</v>
      </c>
      <c r="J2047" s="1518">
        <f t="shared" si="194"/>
        <v>0</v>
      </c>
      <c r="K2047" s="1518"/>
      <c r="L2047" s="1521"/>
      <c r="M2047" s="1518">
        <f t="shared" si="195"/>
        <v>0</v>
      </c>
      <c r="N2047" s="1521"/>
      <c r="O2047" s="1518">
        <f t="shared" si="196"/>
        <v>0</v>
      </c>
      <c r="P2047" s="1518">
        <f t="shared" si="197"/>
        <v>0</v>
      </c>
    </row>
    <row r="2048" spans="1:16">
      <c r="A2048" s="1457"/>
      <c r="B2048" s="1457"/>
      <c r="C2048" s="1514">
        <f>IF(D1994="","-",+C2047+1)</f>
        <v>2067</v>
      </c>
      <c r="D2048" s="1474">
        <f t="shared" si="198"/>
        <v>0</v>
      </c>
      <c r="E2048" s="1519">
        <f t="shared" si="199"/>
        <v>0</v>
      </c>
      <c r="F2048" s="1519">
        <f t="shared" si="192"/>
        <v>0</v>
      </c>
      <c r="G2048" s="1474">
        <f t="shared" si="193"/>
        <v>0</v>
      </c>
      <c r="H2048" s="1515">
        <f>+J1995*G2048+E2048</f>
        <v>0</v>
      </c>
      <c r="I2048" s="1520">
        <f>+J1996*G2048+E2048</f>
        <v>0</v>
      </c>
      <c r="J2048" s="1518">
        <f t="shared" si="194"/>
        <v>0</v>
      </c>
      <c r="K2048" s="1518"/>
      <c r="L2048" s="1521"/>
      <c r="M2048" s="1518">
        <f t="shared" si="195"/>
        <v>0</v>
      </c>
      <c r="N2048" s="1521"/>
      <c r="O2048" s="1518">
        <f t="shared" si="196"/>
        <v>0</v>
      </c>
      <c r="P2048" s="1518">
        <f t="shared" si="197"/>
        <v>0</v>
      </c>
    </row>
    <row r="2049" spans="1:16">
      <c r="A2049" s="1457"/>
      <c r="B2049" s="1457"/>
      <c r="C2049" s="1514">
        <f>IF(D1994="","-",+C2048+1)</f>
        <v>2068</v>
      </c>
      <c r="D2049" s="1474">
        <f t="shared" si="198"/>
        <v>0</v>
      </c>
      <c r="E2049" s="1519">
        <f t="shared" si="199"/>
        <v>0</v>
      </c>
      <c r="F2049" s="1519">
        <f t="shared" si="192"/>
        <v>0</v>
      </c>
      <c r="G2049" s="1474">
        <f t="shared" si="193"/>
        <v>0</v>
      </c>
      <c r="H2049" s="1515">
        <f>+J1995*G2049+E2049</f>
        <v>0</v>
      </c>
      <c r="I2049" s="1520">
        <f>+J1996*G2049+E2049</f>
        <v>0</v>
      </c>
      <c r="J2049" s="1518">
        <f t="shared" si="194"/>
        <v>0</v>
      </c>
      <c r="K2049" s="1518"/>
      <c r="L2049" s="1521"/>
      <c r="M2049" s="1518">
        <f t="shared" si="195"/>
        <v>0</v>
      </c>
      <c r="N2049" s="1521"/>
      <c r="O2049" s="1518">
        <f t="shared" si="196"/>
        <v>0</v>
      </c>
      <c r="P2049" s="1518">
        <f t="shared" si="197"/>
        <v>0</v>
      </c>
    </row>
    <row r="2050" spans="1:16">
      <c r="A2050" s="1457"/>
      <c r="B2050" s="1457"/>
      <c r="C2050" s="1514">
        <f>IF(D1994="","-",+C2049+1)</f>
        <v>2069</v>
      </c>
      <c r="D2050" s="1474">
        <f t="shared" si="198"/>
        <v>0</v>
      </c>
      <c r="E2050" s="1519">
        <f t="shared" si="199"/>
        <v>0</v>
      </c>
      <c r="F2050" s="1519">
        <f t="shared" si="192"/>
        <v>0</v>
      </c>
      <c r="G2050" s="1474">
        <f t="shared" si="193"/>
        <v>0</v>
      </c>
      <c r="H2050" s="1515">
        <f>+J1995*G2050+E2050</f>
        <v>0</v>
      </c>
      <c r="I2050" s="1520">
        <f>+J1996*G2050+E2050</f>
        <v>0</v>
      </c>
      <c r="J2050" s="1518">
        <f t="shared" si="194"/>
        <v>0</v>
      </c>
      <c r="K2050" s="1518"/>
      <c r="L2050" s="1521"/>
      <c r="M2050" s="1518">
        <f t="shared" si="195"/>
        <v>0</v>
      </c>
      <c r="N2050" s="1521"/>
      <c r="O2050" s="1518">
        <f t="shared" si="196"/>
        <v>0</v>
      </c>
      <c r="P2050" s="1518">
        <f t="shared" si="197"/>
        <v>0</v>
      </c>
    </row>
    <row r="2051" spans="1:16">
      <c r="A2051" s="1457"/>
      <c r="B2051" s="1457"/>
      <c r="C2051" s="1514">
        <f>IF(D1994="","-",+C2050+1)</f>
        <v>2070</v>
      </c>
      <c r="D2051" s="1474">
        <f t="shared" si="198"/>
        <v>0</v>
      </c>
      <c r="E2051" s="1519">
        <f>IF(D2051&gt;$J$1997,$J$1997,D2051)</f>
        <v>0</v>
      </c>
      <c r="F2051" s="1519">
        <f t="shared" si="192"/>
        <v>0</v>
      </c>
      <c r="G2051" s="1474">
        <f t="shared" si="193"/>
        <v>0</v>
      </c>
      <c r="H2051" s="1515">
        <f>+J1995*G2051+E2051</f>
        <v>0</v>
      </c>
      <c r="I2051" s="1520">
        <f>+J1996*G2051+E2051</f>
        <v>0</v>
      </c>
      <c r="J2051" s="1518">
        <f t="shared" si="194"/>
        <v>0</v>
      </c>
      <c r="K2051" s="1518"/>
      <c r="L2051" s="1521"/>
      <c r="M2051" s="1518">
        <f t="shared" si="195"/>
        <v>0</v>
      </c>
      <c r="N2051" s="1521"/>
      <c r="O2051" s="1518">
        <f t="shared" si="196"/>
        <v>0</v>
      </c>
      <c r="P2051" s="1518">
        <f t="shared" si="197"/>
        <v>0</v>
      </c>
    </row>
    <row r="2052" spans="1:16">
      <c r="A2052" s="1457"/>
      <c r="B2052" s="1457"/>
      <c r="C2052" s="1514">
        <f>IF(D1994="","-",+C2051+1)</f>
        <v>2071</v>
      </c>
      <c r="D2052" s="1474">
        <f t="shared" si="198"/>
        <v>0</v>
      </c>
      <c r="E2052" s="1519">
        <f t="shared" si="199"/>
        <v>0</v>
      </c>
      <c r="F2052" s="1519">
        <f t="shared" si="192"/>
        <v>0</v>
      </c>
      <c r="G2052" s="1474">
        <f t="shared" si="193"/>
        <v>0</v>
      </c>
      <c r="H2052" s="1515">
        <f>+J1995*G2052+E2052</f>
        <v>0</v>
      </c>
      <c r="I2052" s="1520">
        <f>+J1996*G2052+E2052</f>
        <v>0</v>
      </c>
      <c r="J2052" s="1518">
        <f t="shared" si="194"/>
        <v>0</v>
      </c>
      <c r="K2052" s="1518"/>
      <c r="L2052" s="1521"/>
      <c r="M2052" s="1518">
        <f t="shared" si="195"/>
        <v>0</v>
      </c>
      <c r="N2052" s="1521"/>
      <c r="O2052" s="1518">
        <f t="shared" si="196"/>
        <v>0</v>
      </c>
      <c r="P2052" s="1518">
        <f t="shared" si="197"/>
        <v>0</v>
      </c>
    </row>
    <row r="2053" spans="1:16">
      <c r="A2053" s="1457"/>
      <c r="B2053" s="1457"/>
      <c r="C2053" s="1514">
        <f>IF(D1994="","-",+C2052+1)</f>
        <v>2072</v>
      </c>
      <c r="D2053" s="1474">
        <f t="shared" si="198"/>
        <v>0</v>
      </c>
      <c r="E2053" s="1519">
        <f t="shared" si="199"/>
        <v>0</v>
      </c>
      <c r="F2053" s="1519">
        <f t="shared" si="192"/>
        <v>0</v>
      </c>
      <c r="G2053" s="1474">
        <f t="shared" si="193"/>
        <v>0</v>
      </c>
      <c r="H2053" s="1515">
        <f>+J1995*G2053+E2053</f>
        <v>0</v>
      </c>
      <c r="I2053" s="1520">
        <f>+J1996*G2053+E2053</f>
        <v>0</v>
      </c>
      <c r="J2053" s="1518">
        <f t="shared" si="194"/>
        <v>0</v>
      </c>
      <c r="K2053" s="1518"/>
      <c r="L2053" s="1521"/>
      <c r="M2053" s="1518">
        <f t="shared" si="195"/>
        <v>0</v>
      </c>
      <c r="N2053" s="1521"/>
      <c r="O2053" s="1518">
        <f t="shared" si="196"/>
        <v>0</v>
      </c>
      <c r="P2053" s="1518">
        <f t="shared" si="197"/>
        <v>0</v>
      </c>
    </row>
    <row r="2054" spans="1:16">
      <c r="A2054" s="1457"/>
      <c r="B2054" s="1457"/>
      <c r="C2054" s="1514">
        <f>IF(D1994="","-",+C2053+1)</f>
        <v>2073</v>
      </c>
      <c r="D2054" s="1474">
        <f t="shared" si="198"/>
        <v>0</v>
      </c>
      <c r="E2054" s="1519">
        <f t="shared" si="199"/>
        <v>0</v>
      </c>
      <c r="F2054" s="1519">
        <f t="shared" si="192"/>
        <v>0</v>
      </c>
      <c r="G2054" s="1474">
        <f t="shared" si="193"/>
        <v>0</v>
      </c>
      <c r="H2054" s="1515">
        <f>+J1995*G2054+E2054</f>
        <v>0</v>
      </c>
      <c r="I2054" s="1520">
        <f>+J1996*G2054+E2054</f>
        <v>0</v>
      </c>
      <c r="J2054" s="1518">
        <f t="shared" si="194"/>
        <v>0</v>
      </c>
      <c r="K2054" s="1518"/>
      <c r="L2054" s="1521"/>
      <c r="M2054" s="1518">
        <f t="shared" si="195"/>
        <v>0</v>
      </c>
      <c r="N2054" s="1521"/>
      <c r="O2054" s="1518">
        <f t="shared" si="196"/>
        <v>0</v>
      </c>
      <c r="P2054" s="1518">
        <f t="shared" si="197"/>
        <v>0</v>
      </c>
    </row>
    <row r="2055" spans="1:16">
      <c r="A2055" s="1457"/>
      <c r="B2055" s="1457"/>
      <c r="C2055" s="1514">
        <f>IF(D1994="","-",+C2054+1)</f>
        <v>2074</v>
      </c>
      <c r="D2055" s="1474">
        <f t="shared" si="198"/>
        <v>0</v>
      </c>
      <c r="E2055" s="1519">
        <f t="shared" si="199"/>
        <v>0</v>
      </c>
      <c r="F2055" s="1519">
        <f t="shared" si="192"/>
        <v>0</v>
      </c>
      <c r="G2055" s="1474">
        <f t="shared" si="193"/>
        <v>0</v>
      </c>
      <c r="H2055" s="1515">
        <f>+J1995*G2055+E2055</f>
        <v>0</v>
      </c>
      <c r="I2055" s="1520">
        <f>+J1996*G2055+E2055</f>
        <v>0</v>
      </c>
      <c r="J2055" s="1518">
        <f t="shared" si="194"/>
        <v>0</v>
      </c>
      <c r="K2055" s="1518"/>
      <c r="L2055" s="1521"/>
      <c r="M2055" s="1518">
        <f t="shared" si="195"/>
        <v>0</v>
      </c>
      <c r="N2055" s="1521"/>
      <c r="O2055" s="1518">
        <f t="shared" si="196"/>
        <v>0</v>
      </c>
      <c r="P2055" s="1518">
        <f t="shared" si="197"/>
        <v>0</v>
      </c>
    </row>
    <row r="2056" spans="1:16">
      <c r="A2056" s="1457"/>
      <c r="B2056" s="1457"/>
      <c r="C2056" s="1514">
        <f>IF(D1994="","-",+C2055+1)</f>
        <v>2075</v>
      </c>
      <c r="D2056" s="1474">
        <f t="shared" si="198"/>
        <v>0</v>
      </c>
      <c r="E2056" s="1519">
        <f t="shared" si="199"/>
        <v>0</v>
      </c>
      <c r="F2056" s="1519">
        <f t="shared" si="192"/>
        <v>0</v>
      </c>
      <c r="G2056" s="1474">
        <f t="shared" si="193"/>
        <v>0</v>
      </c>
      <c r="H2056" s="1515">
        <f>+J1995*G2056+E2056</f>
        <v>0</v>
      </c>
      <c r="I2056" s="1520">
        <f>+J1996*G2056+E2056</f>
        <v>0</v>
      </c>
      <c r="J2056" s="1518">
        <f t="shared" si="194"/>
        <v>0</v>
      </c>
      <c r="K2056" s="1518"/>
      <c r="L2056" s="1521"/>
      <c r="M2056" s="1518">
        <f t="shared" si="195"/>
        <v>0</v>
      </c>
      <c r="N2056" s="1521"/>
      <c r="O2056" s="1518">
        <f t="shared" si="196"/>
        <v>0</v>
      </c>
      <c r="P2056" s="1518">
        <f t="shared" si="197"/>
        <v>0</v>
      </c>
    </row>
    <row r="2057" spans="1:16">
      <c r="A2057" s="1457"/>
      <c r="B2057" s="1457"/>
      <c r="C2057" s="1514">
        <f>IF(D1994="","-",+C2056+1)</f>
        <v>2076</v>
      </c>
      <c r="D2057" s="1474">
        <f t="shared" si="198"/>
        <v>0</v>
      </c>
      <c r="E2057" s="1519">
        <f t="shared" si="199"/>
        <v>0</v>
      </c>
      <c r="F2057" s="1519">
        <f t="shared" si="192"/>
        <v>0</v>
      </c>
      <c r="G2057" s="1474">
        <f t="shared" si="193"/>
        <v>0</v>
      </c>
      <c r="H2057" s="1515">
        <f>+J1995*G2057+E2057</f>
        <v>0</v>
      </c>
      <c r="I2057" s="1520">
        <f>+J1996*G2057+E2057</f>
        <v>0</v>
      </c>
      <c r="J2057" s="1518">
        <f t="shared" si="194"/>
        <v>0</v>
      </c>
      <c r="K2057" s="1518"/>
      <c r="L2057" s="1521"/>
      <c r="M2057" s="1518">
        <f t="shared" si="195"/>
        <v>0</v>
      </c>
      <c r="N2057" s="1521"/>
      <c r="O2057" s="1518">
        <f t="shared" si="196"/>
        <v>0</v>
      </c>
      <c r="P2057" s="1518">
        <f t="shared" si="197"/>
        <v>0</v>
      </c>
    </row>
    <row r="2058" spans="1:16">
      <c r="A2058" s="1457"/>
      <c r="B2058" s="1457"/>
      <c r="C2058" s="1514">
        <f>IF(D1994="","-",+C2057+1)</f>
        <v>2077</v>
      </c>
      <c r="D2058" s="1474">
        <f t="shared" si="198"/>
        <v>0</v>
      </c>
      <c r="E2058" s="1519">
        <f t="shared" si="199"/>
        <v>0</v>
      </c>
      <c r="F2058" s="1519">
        <f t="shared" si="192"/>
        <v>0</v>
      </c>
      <c r="G2058" s="1474">
        <f t="shared" si="193"/>
        <v>0</v>
      </c>
      <c r="H2058" s="1515">
        <f>+J1995*G2058+E2058</f>
        <v>0</v>
      </c>
      <c r="I2058" s="1520">
        <f>+J1996*G2058+E2058</f>
        <v>0</v>
      </c>
      <c r="J2058" s="1518">
        <f t="shared" si="194"/>
        <v>0</v>
      </c>
      <c r="K2058" s="1518"/>
      <c r="L2058" s="1521"/>
      <c r="M2058" s="1518">
        <f t="shared" si="195"/>
        <v>0</v>
      </c>
      <c r="N2058" s="1521"/>
      <c r="O2058" s="1518">
        <f t="shared" si="196"/>
        <v>0</v>
      </c>
      <c r="P2058" s="1518">
        <f t="shared" si="197"/>
        <v>0</v>
      </c>
    </row>
    <row r="2059" spans="1:16" ht="13.5" thickBot="1">
      <c r="A2059" s="1457"/>
      <c r="B2059" s="1457"/>
      <c r="C2059" s="1522">
        <f>IF(D1994="","-",+C2058+1)</f>
        <v>2078</v>
      </c>
      <c r="D2059" s="1523">
        <f t="shared" si="198"/>
        <v>0</v>
      </c>
      <c r="E2059" s="1524">
        <f t="shared" si="199"/>
        <v>0</v>
      </c>
      <c r="F2059" s="1524">
        <f t="shared" si="192"/>
        <v>0</v>
      </c>
      <c r="G2059" s="1523">
        <f t="shared" si="193"/>
        <v>0</v>
      </c>
      <c r="H2059" s="1525">
        <f>+J1995*G2059+E2059</f>
        <v>0</v>
      </c>
      <c r="I2059" s="1525">
        <f>+J1996*G2059+E2059</f>
        <v>0</v>
      </c>
      <c r="J2059" s="1526">
        <f t="shared" si="194"/>
        <v>0</v>
      </c>
      <c r="K2059" s="1518"/>
      <c r="L2059" s="1527"/>
      <c r="M2059" s="1526">
        <f t="shared" si="195"/>
        <v>0</v>
      </c>
      <c r="N2059" s="1527"/>
      <c r="O2059" s="1526">
        <f t="shared" si="196"/>
        <v>0</v>
      </c>
      <c r="P2059" s="1526">
        <f t="shared" si="197"/>
        <v>0</v>
      </c>
    </row>
    <row r="2060" spans="1:16">
      <c r="A2060" s="1457"/>
      <c r="B2060" s="1457"/>
      <c r="C2060" s="1474" t="s">
        <v>288</v>
      </c>
      <c r="D2060" s="1473"/>
      <c r="E2060" s="1473">
        <f>SUM(E2000:E2059)</f>
        <v>0</v>
      </c>
      <c r="F2060" s="1473"/>
      <c r="G2060" s="1473"/>
      <c r="H2060" s="1473">
        <f>SUM(H2000:H2059)</f>
        <v>0</v>
      </c>
      <c r="I2060" s="1473">
        <f>SUM(I2000:I2059)</f>
        <v>0</v>
      </c>
      <c r="J2060" s="1473">
        <f>SUM(J2000:J2059)</f>
        <v>0</v>
      </c>
      <c r="K2060" s="1473"/>
      <c r="L2060" s="1473"/>
      <c r="M2060" s="1473"/>
      <c r="N2060" s="1473"/>
      <c r="O2060" s="1473"/>
      <c r="P2060" s="1458"/>
    </row>
    <row r="2061" spans="1:16">
      <c r="A2061" s="1457"/>
      <c r="B2061" s="1457"/>
      <c r="C2061" s="1457"/>
      <c r="D2061" s="1459"/>
      <c r="E2061" s="1458"/>
      <c r="F2061" s="1458"/>
      <c r="G2061" s="1458"/>
      <c r="H2061" s="1458"/>
      <c r="I2061" s="1471"/>
      <c r="J2061" s="1471"/>
      <c r="K2061" s="1473"/>
      <c r="L2061" s="1471"/>
      <c r="M2061" s="1471"/>
      <c r="N2061" s="1471"/>
      <c r="O2061" s="1471"/>
      <c r="P2061" s="1458"/>
    </row>
    <row r="2062" spans="1:16">
      <c r="A2062" s="1457"/>
      <c r="B2062" s="1457"/>
      <c r="C2062" s="1458" t="s">
        <v>595</v>
      </c>
      <c r="D2062" s="1459"/>
      <c r="E2062" s="1458"/>
      <c r="F2062" s="1458"/>
      <c r="G2062" s="1458"/>
      <c r="H2062" s="1458"/>
      <c r="I2062" s="1471"/>
      <c r="J2062" s="1471"/>
      <c r="K2062" s="1473"/>
      <c r="L2062" s="1471"/>
      <c r="M2062" s="1471"/>
      <c r="N2062" s="1471"/>
      <c r="O2062" s="1471"/>
      <c r="P2062" s="1458"/>
    </row>
    <row r="2063" spans="1:16">
      <c r="A2063" s="1457"/>
      <c r="B2063" s="1457"/>
      <c r="C2063" s="1457"/>
      <c r="D2063" s="1459"/>
      <c r="E2063" s="1458"/>
      <c r="F2063" s="1458"/>
      <c r="G2063" s="1458"/>
      <c r="H2063" s="1458"/>
      <c r="I2063" s="1471"/>
      <c r="J2063" s="1471"/>
      <c r="K2063" s="1473"/>
      <c r="L2063" s="1471"/>
      <c r="M2063" s="1471"/>
      <c r="N2063" s="1471"/>
      <c r="O2063" s="1471"/>
      <c r="P2063" s="1458"/>
    </row>
    <row r="2064" spans="1:16">
      <c r="A2064" s="1457"/>
      <c r="B2064" s="1457"/>
      <c r="C2064" s="1461" t="s">
        <v>596</v>
      </c>
      <c r="D2064" s="1474"/>
      <c r="E2064" s="1474"/>
      <c r="F2064" s="1474"/>
      <c r="G2064" s="1474"/>
      <c r="H2064" s="1473"/>
      <c r="I2064" s="1473"/>
      <c r="J2064" s="1475"/>
      <c r="K2064" s="1475"/>
      <c r="L2064" s="1475"/>
      <c r="M2064" s="1475"/>
      <c r="N2064" s="1475"/>
      <c r="O2064" s="1475"/>
      <c r="P2064" s="1458"/>
    </row>
    <row r="2065" spans="1:16">
      <c r="A2065" s="1457"/>
      <c r="B2065" s="1457"/>
      <c r="C2065" s="1461" t="s">
        <v>476</v>
      </c>
      <c r="D2065" s="1474"/>
      <c r="E2065" s="1474"/>
      <c r="F2065" s="1474"/>
      <c r="G2065" s="1474"/>
      <c r="H2065" s="1473"/>
      <c r="I2065" s="1473"/>
      <c r="J2065" s="1475"/>
      <c r="K2065" s="1475"/>
      <c r="L2065" s="1475"/>
      <c r="M2065" s="1475"/>
      <c r="N2065" s="1475"/>
      <c r="O2065" s="1475"/>
      <c r="P2065" s="1458"/>
    </row>
    <row r="2066" spans="1:16">
      <c r="A2066" s="1457"/>
      <c r="B2066" s="1457"/>
      <c r="C2066" s="1461" t="s">
        <v>289</v>
      </c>
      <c r="D2066" s="1474"/>
      <c r="E2066" s="1474"/>
      <c r="F2066" s="1474"/>
      <c r="G2066" s="1474"/>
      <c r="H2066" s="1473"/>
      <c r="I2066" s="1473"/>
      <c r="J2066" s="1475"/>
      <c r="K2066" s="1475"/>
      <c r="L2066" s="1475"/>
      <c r="M2066" s="1475"/>
      <c r="N2066" s="1475"/>
      <c r="O2066" s="1475"/>
      <c r="P2066" s="1458"/>
    </row>
  </sheetData>
  <mergeCells count="64">
    <mergeCell ref="D1558:F1558"/>
    <mergeCell ref="D1128:I1128"/>
    <mergeCell ref="D1129:I1129"/>
    <mergeCell ref="L1132:O1132"/>
    <mergeCell ref="D1215:I1215"/>
    <mergeCell ref="L1218:O1218"/>
    <mergeCell ref="D1300:I1300"/>
    <mergeCell ref="D1301:I1301"/>
    <mergeCell ref="G1558:I1558"/>
    <mergeCell ref="L1046:O1046"/>
    <mergeCell ref="L1390:O1390"/>
    <mergeCell ref="L1476:O1476"/>
    <mergeCell ref="D1472:F1472"/>
    <mergeCell ref="G1472:I1472"/>
    <mergeCell ref="L1304:O1304"/>
    <mergeCell ref="D1214:I1214"/>
    <mergeCell ref="D1386:I1386"/>
    <mergeCell ref="L1993:O1993"/>
    <mergeCell ref="L1820:O1820"/>
    <mergeCell ref="L1906:O1906"/>
    <mergeCell ref="L1562:O1562"/>
    <mergeCell ref="D1644:F1644"/>
    <mergeCell ref="G1644:I1644"/>
    <mergeCell ref="L1648:O1648"/>
    <mergeCell ref="D1730:F1730"/>
    <mergeCell ref="G1730:I1730"/>
    <mergeCell ref="L1734:O1734"/>
    <mergeCell ref="L526:O526"/>
    <mergeCell ref="D608:I609"/>
    <mergeCell ref="L874:O874"/>
    <mergeCell ref="D870:I870"/>
    <mergeCell ref="D871:I871"/>
    <mergeCell ref="L612:O612"/>
    <mergeCell ref="L788:O788"/>
    <mergeCell ref="D784:I784"/>
    <mergeCell ref="D785:I785"/>
    <mergeCell ref="D696:I697"/>
    <mergeCell ref="L700:O700"/>
    <mergeCell ref="L960:O960"/>
    <mergeCell ref="D91:G91"/>
    <mergeCell ref="D1043:I1043"/>
    <mergeCell ref="D436:I436"/>
    <mergeCell ref="D437:I437"/>
    <mergeCell ref="D522:I522"/>
    <mergeCell ref="D523:I523"/>
    <mergeCell ref="D956:I956"/>
    <mergeCell ref="D957:I957"/>
    <mergeCell ref="D1042:I1042"/>
    <mergeCell ref="L440:O440"/>
    <mergeCell ref="L182:O182"/>
    <mergeCell ref="D178:I179"/>
    <mergeCell ref="L268:O268"/>
    <mergeCell ref="D264:G264"/>
    <mergeCell ref="L354:O354"/>
    <mergeCell ref="D350:I351"/>
    <mergeCell ref="C60:D61"/>
    <mergeCell ref="C71:D72"/>
    <mergeCell ref="L95:O95"/>
    <mergeCell ref="A3:P3"/>
    <mergeCell ref="C11:I12"/>
    <mergeCell ref="A4:P4"/>
    <mergeCell ref="A5:P5"/>
    <mergeCell ref="A6:P6"/>
    <mergeCell ref="C51:D52"/>
  </mergeCells>
  <phoneticPr fontId="0" type="noConversion"/>
  <conditionalFormatting sqref="C102:C161">
    <cfRule type="cellIs" dxfId="46" priority="33" stopIfTrue="1" operator="equal">
      <formula>$J$92</formula>
    </cfRule>
  </conditionalFormatting>
  <conditionalFormatting sqref="C189:C248">
    <cfRule type="cellIs" dxfId="45" priority="22" stopIfTrue="1" operator="equal">
      <formula>$J$92</formula>
    </cfRule>
  </conditionalFormatting>
  <conditionalFormatting sqref="C275:C334">
    <cfRule type="cellIs" dxfId="44" priority="21" stopIfTrue="1" operator="equal">
      <formula>$J$92</formula>
    </cfRule>
  </conditionalFormatting>
  <conditionalFormatting sqref="C361:C420">
    <cfRule type="cellIs" dxfId="43" priority="20" stopIfTrue="1" operator="equal">
      <formula>$J$92</formula>
    </cfRule>
  </conditionalFormatting>
  <conditionalFormatting sqref="C447:C506">
    <cfRule type="cellIs" dxfId="42" priority="19" stopIfTrue="1" operator="equal">
      <formula>$J$92</formula>
    </cfRule>
  </conditionalFormatting>
  <conditionalFormatting sqref="C533:C592">
    <cfRule type="cellIs" dxfId="41" priority="18" stopIfTrue="1" operator="equal">
      <formula>$J$92</formula>
    </cfRule>
  </conditionalFormatting>
  <conditionalFormatting sqref="C619:C678">
    <cfRule type="cellIs" dxfId="40" priority="17" stopIfTrue="1" operator="equal">
      <formula>$J$92</formula>
    </cfRule>
  </conditionalFormatting>
  <conditionalFormatting sqref="C795:C854">
    <cfRule type="cellIs" dxfId="39" priority="16" stopIfTrue="1" operator="equal">
      <formula>$J$92</formula>
    </cfRule>
  </conditionalFormatting>
  <conditionalFormatting sqref="C881:C940">
    <cfRule type="cellIs" dxfId="38" priority="15" stopIfTrue="1" operator="equal">
      <formula>$J$92</formula>
    </cfRule>
  </conditionalFormatting>
  <conditionalFormatting sqref="C967:C1026">
    <cfRule type="cellIs" dxfId="37" priority="14" stopIfTrue="1" operator="equal">
      <formula>$J$92</formula>
    </cfRule>
  </conditionalFormatting>
  <conditionalFormatting sqref="C1053:C1112">
    <cfRule type="cellIs" dxfId="36" priority="13" stopIfTrue="1" operator="equal">
      <formula>$J$92</formula>
    </cfRule>
  </conditionalFormatting>
  <conditionalFormatting sqref="C1139:C1198">
    <cfRule type="cellIs" dxfId="35" priority="12" stopIfTrue="1" operator="equal">
      <formula>$J$92</formula>
    </cfRule>
  </conditionalFormatting>
  <conditionalFormatting sqref="C1225:C1284">
    <cfRule type="cellIs" dxfId="34" priority="11" stopIfTrue="1" operator="equal">
      <formula>$J$92</formula>
    </cfRule>
  </conditionalFormatting>
  <conditionalFormatting sqref="C1311:C1370">
    <cfRule type="cellIs" dxfId="33" priority="10" stopIfTrue="1" operator="equal">
      <formula>$J$92</formula>
    </cfRule>
  </conditionalFormatting>
  <conditionalFormatting sqref="C1397:C1456">
    <cfRule type="cellIs" dxfId="32" priority="9" stopIfTrue="1" operator="equal">
      <formula>$J$92</formula>
    </cfRule>
  </conditionalFormatting>
  <conditionalFormatting sqref="C1483:C1542">
    <cfRule type="cellIs" dxfId="31" priority="8" stopIfTrue="1" operator="equal">
      <formula>$J$92</formula>
    </cfRule>
  </conditionalFormatting>
  <conditionalFormatting sqref="C1569:C1628">
    <cfRule type="cellIs" dxfId="30" priority="7" stopIfTrue="1" operator="equal">
      <formula>$J$92</formula>
    </cfRule>
  </conditionalFormatting>
  <conditionalFormatting sqref="C1655:C1714">
    <cfRule type="cellIs" dxfId="29" priority="6" stopIfTrue="1" operator="equal">
      <formula>$J$92</formula>
    </cfRule>
  </conditionalFormatting>
  <conditionalFormatting sqref="C1741:C1800">
    <cfRule type="cellIs" dxfId="28" priority="5" stopIfTrue="1" operator="equal">
      <formula>$J$92</formula>
    </cfRule>
  </conditionalFormatting>
  <conditionalFormatting sqref="C1827:C1886">
    <cfRule type="cellIs" dxfId="27" priority="4" stopIfTrue="1" operator="equal">
      <formula>$J$92</formula>
    </cfRule>
  </conditionalFormatting>
  <conditionalFormatting sqref="C1913:C1972">
    <cfRule type="cellIs" dxfId="26" priority="3" stopIfTrue="1" operator="equal">
      <formula>$J$92</formula>
    </cfRule>
  </conditionalFormatting>
  <conditionalFormatting sqref="C707:C766">
    <cfRule type="cellIs" dxfId="25" priority="2" stopIfTrue="1" operator="equal">
      <formula>$J$92</formula>
    </cfRule>
  </conditionalFormatting>
  <conditionalFormatting sqref="C2000:C2059">
    <cfRule type="cellIs" dxfId="24"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21" manualBreakCount="21">
    <brk id="81" max="15" man="1"/>
    <brk id="255" max="16383" man="1"/>
    <brk id="341" max="16383" man="1"/>
    <brk id="427" max="16383" man="1"/>
    <brk id="513" max="16383" man="1"/>
    <brk id="599" max="16383" man="1"/>
    <brk id="775" max="16383" man="1"/>
    <brk id="861" max="16383" man="1"/>
    <brk id="947" max="16383" man="1"/>
    <brk id="1033" max="16383" man="1"/>
    <brk id="1119" max="16383" man="1"/>
    <brk id="1205" max="16383" man="1"/>
    <brk id="1291" max="16383" man="1"/>
    <brk id="1377" max="16383" man="1"/>
    <brk id="1463" max="16383" man="1"/>
    <brk id="1549" max="16383" man="1"/>
    <brk id="1635" max="16383" man="1"/>
    <brk id="1721" max="16383" man="1"/>
    <brk id="1807" max="16383" man="1"/>
    <brk id="1893" max="16383" man="1"/>
    <brk id="1979"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7" bestFit="1" customWidth="1"/>
    <col min="9" max="16384" width="9.140625" style="179"/>
  </cols>
  <sheetData>
    <row r="1" spans="1:30" ht="15.75">
      <c r="A1" s="898" t="s">
        <v>114</v>
      </c>
    </row>
    <row r="2" spans="1:30" ht="15.75">
      <c r="A2" s="898" t="s">
        <v>114</v>
      </c>
    </row>
    <row r="3" spans="1:30" ht="15">
      <c r="B3" s="1653" t="s">
        <v>387</v>
      </c>
      <c r="C3" s="1653"/>
      <c r="D3" s="1653"/>
      <c r="E3" s="1653"/>
      <c r="F3" s="1653"/>
      <c r="G3" s="38"/>
      <c r="H3" s="243"/>
      <c r="I3" s="38"/>
      <c r="J3" s="38"/>
      <c r="K3" s="38"/>
      <c r="L3" s="38"/>
      <c r="M3" s="38"/>
      <c r="N3" s="38"/>
      <c r="O3" s="38"/>
      <c r="P3" s="38"/>
    </row>
    <row r="4" spans="1:30" ht="15">
      <c r="B4" s="1654" t="str">
        <f>"Cost of Service Formula Rate Using "&amp;TCOS!L4&amp;" FF1 Balances"</f>
        <v>Cost of Service Formula Rate Using 2021 FF1 Balances</v>
      </c>
      <c r="C4" s="1654"/>
      <c r="D4" s="1654"/>
      <c r="E4" s="1654"/>
      <c r="F4" s="1654"/>
      <c r="G4" s="95"/>
      <c r="H4" s="244"/>
      <c r="I4" s="95"/>
      <c r="J4" s="95"/>
      <c r="K4" s="95"/>
      <c r="L4" s="95"/>
      <c r="M4" s="95"/>
      <c r="N4" s="95"/>
      <c r="O4" s="95"/>
      <c r="P4" s="95"/>
    </row>
    <row r="5" spans="1:30" ht="18">
      <c r="B5" s="1653" t="s">
        <v>547</v>
      </c>
      <c r="C5" s="1653"/>
      <c r="D5" s="1653"/>
      <c r="E5" s="1653"/>
      <c r="F5" s="1653"/>
      <c r="G5" s="151"/>
      <c r="H5" s="245"/>
      <c r="I5" s="151"/>
      <c r="J5" s="151"/>
      <c r="K5" s="151"/>
    </row>
    <row r="6" spans="1:30" ht="18">
      <c r="B6" s="1665" t="str">
        <f>+TCOS!F9</f>
        <v>Ohio Power Company</v>
      </c>
      <c r="C6" s="1653"/>
      <c r="D6" s="1653"/>
      <c r="E6" s="1653"/>
      <c r="F6" s="1653"/>
      <c r="G6" s="160"/>
      <c r="H6" s="246"/>
      <c r="I6" s="160"/>
      <c r="J6" s="160"/>
      <c r="K6" s="160"/>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74"/>
      <c r="B11" s="180"/>
      <c r="C11" s="181"/>
    </row>
    <row r="12" spans="1:30">
      <c r="A12" s="226"/>
      <c r="B12" s="12"/>
      <c r="C12" s="12"/>
      <c r="D12" s="12"/>
      <c r="E12" s="12"/>
      <c r="F12" s="12"/>
      <c r="G12" s="11"/>
    </row>
    <row r="13" spans="1:30">
      <c r="A13" s="228"/>
      <c r="B13" s="12"/>
      <c r="C13" s="12"/>
      <c r="D13" s="12"/>
      <c r="E13" s="12"/>
      <c r="F13" s="12"/>
      <c r="G13" s="11"/>
    </row>
    <row r="14" spans="1:30">
      <c r="A14" s="265"/>
      <c r="B14" s="12"/>
      <c r="C14" s="12"/>
      <c r="D14" s="12"/>
      <c r="E14" s="12"/>
      <c r="F14" s="12"/>
      <c r="H14" s="179"/>
    </row>
    <row r="15" spans="1:30">
      <c r="A15" s="265"/>
      <c r="B15" s="12"/>
      <c r="C15" s="12"/>
      <c r="D15" s="12"/>
      <c r="E15" s="12"/>
      <c r="F15" s="12"/>
      <c r="H15" s="179"/>
    </row>
    <row r="16" spans="1:30">
      <c r="A16" s="265"/>
      <c r="B16" s="12"/>
      <c r="C16" s="12"/>
      <c r="D16" s="12"/>
      <c r="E16" s="12"/>
      <c r="F16" s="12"/>
      <c r="H16" s="179"/>
    </row>
    <row r="17" spans="1:8" ht="12.75" customHeight="1">
      <c r="A17" s="265"/>
      <c r="B17" s="12"/>
      <c r="C17" s="12"/>
      <c r="D17" s="12"/>
      <c r="E17" s="12"/>
      <c r="F17" s="12"/>
      <c r="H17" s="179"/>
    </row>
    <row r="18" spans="1:8">
      <c r="A18" s="265"/>
      <c r="B18" s="12"/>
      <c r="C18" s="12"/>
      <c r="D18" s="12"/>
      <c r="E18" s="12"/>
      <c r="F18" s="12"/>
      <c r="H18" s="179"/>
    </row>
    <row r="19" spans="1:8">
      <c r="A19" s="265"/>
      <c r="B19" s="12"/>
      <c r="C19" s="12"/>
      <c r="D19" s="12"/>
      <c r="E19" s="12"/>
      <c r="F19" s="12"/>
      <c r="H19" s="179"/>
    </row>
    <row r="20" spans="1:8">
      <c r="A20" s="265"/>
      <c r="B20" s="12"/>
      <c r="C20" s="12"/>
      <c r="D20" s="12"/>
      <c r="E20" s="12"/>
      <c r="F20" s="12"/>
      <c r="H20" s="179"/>
    </row>
    <row r="21" spans="1:8">
      <c r="A21" s="265"/>
      <c r="B21" s="12"/>
      <c r="C21" s="12"/>
      <c r="D21" s="12"/>
      <c r="E21" s="12"/>
      <c r="F21" s="12"/>
      <c r="H21" s="179"/>
    </row>
    <row r="22" spans="1:8">
      <c r="A22" s="265"/>
      <c r="B22" s="12"/>
      <c r="C22" s="12"/>
      <c r="D22" s="12"/>
      <c r="E22" s="12"/>
      <c r="F22" s="12"/>
      <c r="H22" s="179"/>
    </row>
    <row r="23" spans="1:8" ht="12.75" customHeight="1">
      <c r="A23" s="265"/>
      <c r="B23" s="12"/>
      <c r="C23" s="12"/>
      <c r="D23" s="12"/>
      <c r="E23" s="12"/>
      <c r="F23" s="12"/>
      <c r="H23" s="179"/>
    </row>
    <row r="24" spans="1:8" ht="12.75" customHeight="1">
      <c r="A24" s="265"/>
      <c r="B24" s="12"/>
      <c r="C24" s="12"/>
      <c r="D24" s="12"/>
      <c r="E24" s="12"/>
      <c r="F24" s="12"/>
      <c r="H24" s="179"/>
    </row>
    <row r="25" spans="1:8" ht="12.75" customHeight="1">
      <c r="A25" s="265"/>
      <c r="B25" s="12"/>
      <c r="C25" s="12"/>
      <c r="D25" s="12"/>
      <c r="E25" s="12"/>
      <c r="F25" s="12"/>
      <c r="H25" s="179"/>
    </row>
    <row r="26" spans="1:8" ht="12.75" customHeight="1">
      <c r="A26" s="265"/>
      <c r="B26" s="12"/>
      <c r="C26" s="12"/>
      <c r="D26" s="12"/>
      <c r="E26" s="12"/>
      <c r="F26" s="12"/>
      <c r="H26" s="179"/>
    </row>
    <row r="27" spans="1:8" ht="12.75" customHeight="1">
      <c r="A27" s="265"/>
      <c r="B27" s="12"/>
      <c r="C27" s="12"/>
      <c r="D27" s="12"/>
      <c r="E27" s="12"/>
      <c r="F27" s="12"/>
      <c r="H27" s="179"/>
    </row>
    <row r="28" spans="1:8" ht="12.75" customHeight="1">
      <c r="A28" s="265"/>
      <c r="B28" s="12"/>
      <c r="C28" s="12"/>
      <c r="D28" s="12"/>
      <c r="E28" s="12"/>
      <c r="F28" s="12"/>
      <c r="H28" s="179"/>
    </row>
    <row r="29" spans="1:8" ht="12.75" customHeight="1">
      <c r="A29" s="265"/>
      <c r="B29" s="12"/>
      <c r="C29" s="12"/>
      <c r="D29" s="12"/>
      <c r="E29" s="12"/>
      <c r="F29" s="12"/>
      <c r="H29" s="179"/>
    </row>
    <row r="30" spans="1:8" ht="12.75" customHeight="1">
      <c r="A30" s="265"/>
      <c r="B30" s="12"/>
      <c r="C30" s="12"/>
      <c r="D30" s="12"/>
      <c r="E30" s="12"/>
      <c r="F30" s="12"/>
      <c r="H30" s="179"/>
    </row>
    <row r="31" spans="1:8" ht="12.75" customHeight="1">
      <c r="A31" s="265"/>
      <c r="B31" s="12"/>
      <c r="C31" s="12"/>
      <c r="D31" s="12"/>
      <c r="E31" s="12"/>
      <c r="F31" s="12"/>
      <c r="H31" s="179"/>
    </row>
    <row r="32" spans="1:8" ht="12.75" customHeight="1">
      <c r="A32" s="265"/>
      <c r="B32" s="12"/>
      <c r="C32" s="12"/>
      <c r="D32" s="12"/>
      <c r="E32" s="12"/>
      <c r="F32" s="12"/>
      <c r="H32" s="179"/>
    </row>
    <row r="33" spans="1:8" ht="12.75" customHeight="1">
      <c r="A33" s="265"/>
      <c r="B33" s="12"/>
      <c r="C33" s="12"/>
      <c r="D33" s="12"/>
      <c r="E33" s="12"/>
      <c r="F33" s="12"/>
      <c r="H33" s="179"/>
    </row>
    <row r="34" spans="1:8" ht="12.75" customHeight="1">
      <c r="A34" s="265"/>
      <c r="B34" s="12"/>
      <c r="C34" s="12"/>
      <c r="D34" s="12"/>
      <c r="E34" s="12"/>
      <c r="F34" s="12"/>
      <c r="H34" s="179"/>
    </row>
    <row r="35" spans="1:8" ht="12.75" customHeight="1">
      <c r="A35" s="265"/>
      <c r="B35" s="12"/>
      <c r="C35" s="12"/>
      <c r="D35" s="12"/>
      <c r="E35" s="12"/>
      <c r="F35" s="12"/>
      <c r="H35" s="179"/>
    </row>
    <row r="36" spans="1:8" ht="12.75" customHeight="1">
      <c r="A36" s="265"/>
      <c r="B36" s="12"/>
      <c r="C36" s="12"/>
      <c r="D36" s="12"/>
      <c r="E36" s="12"/>
      <c r="F36" s="12"/>
      <c r="H36" s="179"/>
    </row>
    <row r="37" spans="1:8" ht="12.75" customHeight="1">
      <c r="A37" s="265"/>
      <c r="B37" s="12"/>
      <c r="C37" s="12"/>
      <c r="D37" s="12"/>
      <c r="E37" s="12"/>
      <c r="F37" s="12"/>
      <c r="H37" s="179"/>
    </row>
    <row r="38" spans="1:8" ht="12.75" customHeight="1">
      <c r="A38" s="265"/>
      <c r="B38" s="12"/>
      <c r="C38" s="12"/>
      <c r="D38" s="12"/>
      <c r="E38" s="12"/>
      <c r="F38" s="12"/>
      <c r="H38" s="179"/>
    </row>
    <row r="39" spans="1:8" ht="12.75" customHeight="1">
      <c r="A39" s="265"/>
      <c r="B39" s="12"/>
      <c r="C39" s="12"/>
      <c r="D39" s="12"/>
      <c r="E39" s="12"/>
      <c r="F39" s="12"/>
      <c r="H39" s="179"/>
    </row>
    <row r="40" spans="1:8" ht="12.75" customHeight="1">
      <c r="A40" s="265"/>
      <c r="B40" s="12"/>
      <c r="C40" s="12"/>
      <c r="D40" s="12"/>
      <c r="E40" s="12"/>
      <c r="F40" s="12"/>
      <c r="H40" s="179"/>
    </row>
    <row r="41" spans="1:8" ht="12.75" customHeight="1">
      <c r="A41" s="265"/>
      <c r="B41" s="12"/>
      <c r="C41" s="12"/>
      <c r="D41" s="12"/>
      <c r="E41" s="12"/>
      <c r="F41" s="12"/>
      <c r="H41" s="179"/>
    </row>
    <row r="42" spans="1:8" ht="12.75" customHeight="1">
      <c r="A42" s="265"/>
      <c r="B42" s="12"/>
      <c r="C42" s="12"/>
      <c r="D42" s="12"/>
      <c r="E42" s="12"/>
      <c r="F42" s="12"/>
      <c r="H42" s="179"/>
    </row>
    <row r="43" spans="1:8" ht="12.6" customHeight="1">
      <c r="A43" s="265"/>
      <c r="B43" s="12"/>
      <c r="C43" s="12"/>
      <c r="D43" s="12"/>
      <c r="E43" s="12"/>
      <c r="F43" s="12"/>
      <c r="H43" s="179"/>
    </row>
    <row r="44" spans="1:8" ht="12.75" customHeight="1">
      <c r="A44" s="265"/>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64"/>
  <sheetViews>
    <sheetView view="pageBreakPreview" topLeftCell="A49" zoomScale="85" zoomScaleNormal="90" zoomScaleSheetLayoutView="85" zoomScalePageLayoutView="85" workbookViewId="0">
      <selection activeCell="D65" sqref="D65"/>
    </sheetView>
  </sheetViews>
  <sheetFormatPr defaultColWidth="11.42578125" defaultRowHeight="12.75"/>
  <cols>
    <col min="1" max="1" width="10.42578125" style="987" customWidth="1"/>
    <col min="2" max="2" width="52.42578125" style="967" customWidth="1"/>
    <col min="3" max="7" width="20.42578125" style="967" customWidth="1"/>
    <col min="8" max="8" width="23" style="967" customWidth="1"/>
    <col min="9" max="11" width="20.42578125" style="967" customWidth="1"/>
    <col min="12" max="12" width="20" style="967" customWidth="1"/>
    <col min="13" max="14" width="15.140625" style="967" customWidth="1"/>
    <col min="15" max="16384" width="11.42578125" style="967"/>
  </cols>
  <sheetData>
    <row r="1" spans="1:12" ht="15">
      <c r="A1" s="1653" t="s">
        <v>387</v>
      </c>
      <c r="B1" s="1653"/>
      <c r="C1" s="1653"/>
      <c r="D1" s="1653"/>
      <c r="E1" s="1653"/>
      <c r="F1" s="1653"/>
      <c r="G1" s="1653"/>
      <c r="H1" s="906"/>
    </row>
    <row r="2" spans="1:12" ht="15">
      <c r="A2" s="1654" t="str">
        <f>"Cost of Service Formula Rate Using Actual/Projected FF1 Balances"</f>
        <v>Cost of Service Formula Rate Using Actual/Projected FF1 Balances</v>
      </c>
      <c r="B2" s="1654"/>
      <c r="C2" s="1654"/>
      <c r="D2" s="1654"/>
      <c r="E2" s="1654"/>
      <c r="F2" s="1654"/>
      <c r="G2" s="1654"/>
      <c r="H2" s="968"/>
      <c r="I2" s="968"/>
      <c r="J2" s="968"/>
      <c r="L2" s="969"/>
    </row>
    <row r="3" spans="1:12" ht="15">
      <c r="A3" s="1654" t="s">
        <v>670</v>
      </c>
      <c r="B3" s="1654"/>
      <c r="C3" s="1654"/>
      <c r="D3" s="1654"/>
      <c r="E3" s="1654"/>
      <c r="F3" s="1654"/>
      <c r="G3" s="1654"/>
      <c r="H3" s="968"/>
      <c r="I3" s="968"/>
      <c r="J3" s="968"/>
    </row>
    <row r="4" spans="1:12" ht="15">
      <c r="A4" s="1661" t="str">
        <f>TCOS!F9</f>
        <v>Ohio Power Company</v>
      </c>
      <c r="B4" s="1661"/>
      <c r="C4" s="1661"/>
      <c r="D4" s="1661"/>
      <c r="E4" s="1661"/>
      <c r="F4" s="1661"/>
      <c r="G4" s="1661"/>
      <c r="H4" s="968"/>
      <c r="I4" s="968"/>
      <c r="J4" s="968"/>
    </row>
    <row r="5" spans="1:12">
      <c r="A5" s="968"/>
      <c r="B5" s="970"/>
      <c r="C5" s="970"/>
      <c r="D5" s="970"/>
      <c r="E5" s="971"/>
      <c r="F5" s="972"/>
      <c r="H5"/>
      <c r="I5"/>
      <c r="J5"/>
      <c r="K5"/>
      <c r="L5"/>
    </row>
    <row r="6" spans="1:12" ht="12.75" customHeight="1">
      <c r="A6" s="906"/>
      <c r="B6" s="950"/>
      <c r="C6" s="1655" t="s">
        <v>6</v>
      </c>
      <c r="D6" s="1656"/>
      <c r="E6" s="1656"/>
      <c r="F6" s="1656"/>
      <c r="G6" s="1657"/>
      <c r="H6" s="6"/>
      <c r="I6"/>
      <c r="J6"/>
      <c r="K6"/>
      <c r="L6"/>
    </row>
    <row r="7" spans="1:12" s="974" customFormat="1" ht="38.25">
      <c r="A7" s="949" t="s">
        <v>644</v>
      </c>
      <c r="B7" s="948" t="s">
        <v>643</v>
      </c>
      <c r="C7" s="929" t="s">
        <v>671</v>
      </c>
      <c r="D7" s="928" t="s">
        <v>368</v>
      </c>
      <c r="E7" s="928" t="s">
        <v>672</v>
      </c>
      <c r="F7" s="928" t="s">
        <v>673</v>
      </c>
      <c r="G7" s="973" t="s">
        <v>6</v>
      </c>
      <c r="H7" s="6"/>
      <c r="I7"/>
      <c r="J7"/>
      <c r="K7"/>
      <c r="L7"/>
    </row>
    <row r="8" spans="1:12" s="976" customFormat="1">
      <c r="A8" s="917"/>
      <c r="B8" s="925" t="s">
        <v>638</v>
      </c>
      <c r="C8" s="926" t="s">
        <v>637</v>
      </c>
      <c r="D8" s="924" t="s">
        <v>636</v>
      </c>
      <c r="E8" s="924" t="s">
        <v>635</v>
      </c>
      <c r="F8" s="924" t="s">
        <v>634</v>
      </c>
      <c r="G8" s="975" t="s">
        <v>674</v>
      </c>
      <c r="H8" s="6"/>
      <c r="I8"/>
      <c r="J8"/>
      <c r="K8"/>
      <c r="L8"/>
    </row>
    <row r="9" spans="1:12" s="976" customFormat="1" ht="44.25" customHeight="1">
      <c r="A9" s="917"/>
      <c r="B9" s="925" t="s">
        <v>633</v>
      </c>
      <c r="C9" s="977" t="s">
        <v>675</v>
      </c>
      <c r="D9" s="945" t="s">
        <v>676</v>
      </c>
      <c r="E9" s="945" t="s">
        <v>677</v>
      </c>
      <c r="F9" s="945" t="s">
        <v>678</v>
      </c>
      <c r="G9" s="978"/>
      <c r="H9" s="6"/>
      <c r="I9"/>
      <c r="J9"/>
      <c r="K9"/>
      <c r="L9"/>
    </row>
    <row r="10" spans="1:12">
      <c r="A10" s="917">
        <v>1</v>
      </c>
      <c r="B10" s="943" t="s">
        <v>631</v>
      </c>
      <c r="C10" s="979">
        <v>2692658174.2190003</v>
      </c>
      <c r="D10" s="979">
        <v>0</v>
      </c>
      <c r="E10" s="979">
        <v>4915703.46</v>
      </c>
      <c r="F10" s="979">
        <v>30183.35</v>
      </c>
      <c r="G10" s="980">
        <f t="shared" ref="G10:G22" si="0">+C10-D10-E10-F10</f>
        <v>2687712287.4090004</v>
      </c>
      <c r="H10" s="6"/>
      <c r="I10"/>
      <c r="J10"/>
      <c r="K10"/>
      <c r="L10"/>
    </row>
    <row r="11" spans="1:12">
      <c r="A11" s="917">
        <f t="shared" ref="A11:A23" si="1">+A10+1</f>
        <v>2</v>
      </c>
      <c r="B11" s="943" t="s">
        <v>185</v>
      </c>
      <c r="C11" s="979">
        <v>2710859266.7390003</v>
      </c>
      <c r="D11" s="979">
        <v>0</v>
      </c>
      <c r="E11" s="979">
        <v>4915703.46</v>
      </c>
      <c r="F11" s="979">
        <v>29295.609999999997</v>
      </c>
      <c r="G11" s="980">
        <f t="shared" si="0"/>
        <v>2705914267.6690001</v>
      </c>
      <c r="H11" s="6"/>
      <c r="I11"/>
      <c r="J11"/>
      <c r="K11"/>
      <c r="L11"/>
    </row>
    <row r="12" spans="1:12">
      <c r="A12" s="917">
        <f t="shared" si="1"/>
        <v>3</v>
      </c>
      <c r="B12" s="942" t="s">
        <v>559</v>
      </c>
      <c r="C12" s="979">
        <v>2708717677.5990005</v>
      </c>
      <c r="D12" s="979">
        <v>0</v>
      </c>
      <c r="E12" s="979">
        <v>4915703.46</v>
      </c>
      <c r="F12" s="979">
        <v>28407.869999999995</v>
      </c>
      <c r="G12" s="980">
        <f t="shared" si="0"/>
        <v>2703773566.2690005</v>
      </c>
      <c r="H12" s="6"/>
      <c r="I12"/>
      <c r="J12"/>
      <c r="K12"/>
      <c r="L12"/>
    </row>
    <row r="13" spans="1:12">
      <c r="A13" s="917">
        <f t="shared" si="1"/>
        <v>4</v>
      </c>
      <c r="B13" s="942" t="s">
        <v>630</v>
      </c>
      <c r="C13" s="979">
        <v>2739025464.0410008</v>
      </c>
      <c r="D13" s="979">
        <v>0</v>
      </c>
      <c r="E13" s="979">
        <v>4915703.46</v>
      </c>
      <c r="F13" s="979">
        <v>27520.129999999994</v>
      </c>
      <c r="G13" s="980">
        <f t="shared" si="0"/>
        <v>2734082240.4510007</v>
      </c>
      <c r="H13" s="6"/>
      <c r="I13"/>
      <c r="J13"/>
      <c r="K13"/>
      <c r="L13"/>
    </row>
    <row r="14" spans="1:12">
      <c r="A14" s="917">
        <f t="shared" si="1"/>
        <v>5</v>
      </c>
      <c r="B14" s="942" t="s">
        <v>187</v>
      </c>
      <c r="C14" s="979">
        <v>2751350572.3990011</v>
      </c>
      <c r="D14" s="979">
        <v>0</v>
      </c>
      <c r="E14" s="979">
        <v>4915703.46</v>
      </c>
      <c r="F14" s="979">
        <v>26632.389999999992</v>
      </c>
      <c r="G14" s="980">
        <f t="shared" si="0"/>
        <v>2746408236.5490012</v>
      </c>
      <c r="H14" s="6"/>
      <c r="I14"/>
      <c r="J14"/>
      <c r="K14"/>
      <c r="L14"/>
    </row>
    <row r="15" spans="1:12">
      <c r="A15" s="917">
        <f t="shared" si="1"/>
        <v>6</v>
      </c>
      <c r="B15" s="942" t="s">
        <v>188</v>
      </c>
      <c r="C15" s="979">
        <v>2747273484.6990013</v>
      </c>
      <c r="D15" s="979">
        <v>0</v>
      </c>
      <c r="E15" s="979">
        <v>4915703.46</v>
      </c>
      <c r="F15" s="979">
        <v>25744.649999999991</v>
      </c>
      <c r="G15" s="980">
        <f t="shared" si="0"/>
        <v>2742332036.5890012</v>
      </c>
      <c r="H15" s="6"/>
      <c r="I15"/>
      <c r="J15"/>
      <c r="K15"/>
      <c r="L15"/>
    </row>
    <row r="16" spans="1:12">
      <c r="A16" s="917">
        <f t="shared" si="1"/>
        <v>7</v>
      </c>
      <c r="B16" s="942" t="s">
        <v>382</v>
      </c>
      <c r="C16" s="979">
        <v>2791069997.8010011</v>
      </c>
      <c r="D16" s="979">
        <v>0</v>
      </c>
      <c r="E16" s="979">
        <v>4915703.46</v>
      </c>
      <c r="F16" s="979">
        <v>24856.919999999991</v>
      </c>
      <c r="G16" s="980">
        <f t="shared" si="0"/>
        <v>2786129437.421001</v>
      </c>
      <c r="H16" s="6"/>
      <c r="I16"/>
      <c r="J16"/>
      <c r="K16"/>
      <c r="L16"/>
    </row>
    <row r="17" spans="1:12">
      <c r="A17" s="917">
        <f t="shared" si="1"/>
        <v>8</v>
      </c>
      <c r="B17" s="942" t="s">
        <v>189</v>
      </c>
      <c r="C17" s="979">
        <v>2817431454.1390014</v>
      </c>
      <c r="D17" s="979">
        <v>0</v>
      </c>
      <c r="E17" s="979">
        <v>4915703.46</v>
      </c>
      <c r="F17" s="979">
        <v>23969.179999999989</v>
      </c>
      <c r="G17" s="980">
        <f t="shared" si="0"/>
        <v>2812491781.4990015</v>
      </c>
      <c r="H17" s="6"/>
      <c r="I17"/>
      <c r="J17"/>
      <c r="K17"/>
      <c r="L17"/>
    </row>
    <row r="18" spans="1:12">
      <c r="A18" s="917">
        <f t="shared" si="1"/>
        <v>9</v>
      </c>
      <c r="B18" s="942" t="s">
        <v>629</v>
      </c>
      <c r="C18" s="979">
        <v>2813324375.8010015</v>
      </c>
      <c r="D18" s="979">
        <v>0</v>
      </c>
      <c r="E18" s="979">
        <v>4915703.46</v>
      </c>
      <c r="F18" s="979">
        <v>23081.439999999988</v>
      </c>
      <c r="G18" s="980">
        <f t="shared" si="0"/>
        <v>2808385590.9010015</v>
      </c>
      <c r="H18" s="6"/>
      <c r="I18"/>
      <c r="J18"/>
      <c r="K18"/>
      <c r="L18"/>
    </row>
    <row r="19" spans="1:12">
      <c r="A19" s="917">
        <f t="shared" si="1"/>
        <v>10</v>
      </c>
      <c r="B19" s="942" t="s">
        <v>192</v>
      </c>
      <c r="C19" s="979">
        <v>2819369652.7610016</v>
      </c>
      <c r="D19" s="979">
        <v>0</v>
      </c>
      <c r="E19" s="979">
        <v>4915703.46</v>
      </c>
      <c r="F19" s="979">
        <v>22193.699999999986</v>
      </c>
      <c r="G19" s="980">
        <f t="shared" si="0"/>
        <v>2814431755.6010017</v>
      </c>
      <c r="H19" s="6"/>
      <c r="I19"/>
      <c r="J19"/>
      <c r="K19"/>
      <c r="L19"/>
    </row>
    <row r="20" spans="1:12">
      <c r="A20" s="917">
        <f t="shared" si="1"/>
        <v>11</v>
      </c>
      <c r="B20" s="942" t="s">
        <v>560</v>
      </c>
      <c r="C20" s="979">
        <v>2841939248.2850018</v>
      </c>
      <c r="D20" s="979">
        <v>0</v>
      </c>
      <c r="E20" s="979">
        <v>4915703.46</v>
      </c>
      <c r="F20" s="979">
        <v>21305.959999999985</v>
      </c>
      <c r="G20" s="980">
        <f t="shared" si="0"/>
        <v>2837002238.8650017</v>
      </c>
      <c r="H20" s="6"/>
      <c r="I20"/>
      <c r="J20"/>
      <c r="K20"/>
      <c r="L20"/>
    </row>
    <row r="21" spans="1:12">
      <c r="A21" s="917">
        <f t="shared" si="1"/>
        <v>12</v>
      </c>
      <c r="B21" s="942" t="s">
        <v>561</v>
      </c>
      <c r="C21" s="979">
        <v>2824884192.860002</v>
      </c>
      <c r="D21" s="979">
        <v>0</v>
      </c>
      <c r="E21" s="979">
        <v>4915703.46</v>
      </c>
      <c r="F21" s="979">
        <v>20418.219999999983</v>
      </c>
      <c r="G21" s="980">
        <f t="shared" si="0"/>
        <v>2819948071.1800022</v>
      </c>
      <c r="H21" s="6"/>
      <c r="I21"/>
      <c r="J21"/>
      <c r="K21"/>
      <c r="L21"/>
    </row>
    <row r="22" spans="1:12">
      <c r="A22" s="915">
        <f t="shared" si="1"/>
        <v>13</v>
      </c>
      <c r="B22" s="941" t="s">
        <v>628</v>
      </c>
      <c r="C22" s="979">
        <v>2846294399.472002</v>
      </c>
      <c r="D22" s="979">
        <v>0</v>
      </c>
      <c r="E22" s="979">
        <v>4915703.46</v>
      </c>
      <c r="F22" s="979">
        <v>19530.479999999981</v>
      </c>
      <c r="G22" s="980">
        <f t="shared" si="0"/>
        <v>2841359165.532002</v>
      </c>
      <c r="H22" s="6"/>
      <c r="I22"/>
      <c r="J22"/>
      <c r="K22"/>
      <c r="L22"/>
    </row>
    <row r="23" spans="1:12" ht="13.5" thickBot="1">
      <c r="A23" s="940">
        <f t="shared" si="1"/>
        <v>14</v>
      </c>
      <c r="B23" s="939" t="s">
        <v>859</v>
      </c>
      <c r="C23" s="909">
        <f>SUM(C10:C22)/13</f>
        <v>2777245996.9857702</v>
      </c>
      <c r="D23" s="908">
        <f>SUM(D10:D22)/13</f>
        <v>0</v>
      </c>
      <c r="E23" s="908">
        <f>SUM(E10:E22)/13</f>
        <v>4915703.46</v>
      </c>
      <c r="F23" s="908">
        <f>SUM(F10:F22)/13</f>
        <v>24856.915384615371</v>
      </c>
      <c r="G23" s="981">
        <f>SUM(G10:G22)/13</f>
        <v>2772305436.6103864</v>
      </c>
      <c r="H23" s="6"/>
      <c r="I23"/>
      <c r="J23"/>
      <c r="K23"/>
      <c r="L23"/>
    </row>
    <row r="24" spans="1:12" ht="13.5" thickTop="1">
      <c r="A24" s="906"/>
      <c r="B24" s="905"/>
      <c r="C24" s="936"/>
      <c r="D24" s="903"/>
      <c r="E24" s="903"/>
      <c r="F24" s="903"/>
      <c r="G24" s="936"/>
      <c r="H24" s="936"/>
      <c r="I24"/>
      <c r="J24"/>
      <c r="K24"/>
      <c r="L24"/>
    </row>
    <row r="25" spans="1:12" ht="12.75" customHeight="1">
      <c r="A25" s="906"/>
      <c r="B25" s="950"/>
      <c r="C25" s="1725" t="s">
        <v>679</v>
      </c>
      <c r="D25" s="1726"/>
      <c r="E25" s="1726"/>
      <c r="F25" s="1726"/>
      <c r="G25" s="1726"/>
      <c r="H25" s="1727"/>
      <c r="I25"/>
      <c r="J25"/>
      <c r="K25"/>
      <c r="L25"/>
    </row>
    <row r="26" spans="1:12" s="974" customFormat="1" ht="38.25">
      <c r="A26" s="949" t="s">
        <v>644</v>
      </c>
      <c r="B26" s="948" t="s">
        <v>643</v>
      </c>
      <c r="C26" s="929" t="s">
        <v>691</v>
      </c>
      <c r="D26" s="928" t="s">
        <v>690</v>
      </c>
      <c r="E26" s="928" t="s">
        <v>689</v>
      </c>
      <c r="F26" s="928" t="s">
        <v>688</v>
      </c>
      <c r="G26" s="928" t="s">
        <v>680</v>
      </c>
      <c r="H26" s="973" t="s">
        <v>624</v>
      </c>
      <c r="I26"/>
      <c r="J26"/>
      <c r="K26"/>
      <c r="L26"/>
    </row>
    <row r="27" spans="1:12" s="976" customFormat="1">
      <c r="A27" s="917"/>
      <c r="B27" s="925" t="s">
        <v>638</v>
      </c>
      <c r="C27" s="926" t="s">
        <v>637</v>
      </c>
      <c r="D27" s="924" t="s">
        <v>636</v>
      </c>
      <c r="E27" s="924" t="s">
        <v>635</v>
      </c>
      <c r="F27" s="924" t="s">
        <v>634</v>
      </c>
      <c r="G27" s="924" t="s">
        <v>656</v>
      </c>
      <c r="H27" s="975" t="s">
        <v>681</v>
      </c>
      <c r="I27"/>
      <c r="J27"/>
      <c r="K27"/>
      <c r="L27"/>
    </row>
    <row r="28" spans="1:12" s="976" customFormat="1" ht="44.25" customHeight="1">
      <c r="A28" s="917"/>
      <c r="B28" s="925" t="s">
        <v>633</v>
      </c>
      <c r="C28" s="977" t="s">
        <v>682</v>
      </c>
      <c r="D28" s="945" t="s">
        <v>683</v>
      </c>
      <c r="E28" s="945" t="s">
        <v>684</v>
      </c>
      <c r="F28" s="945" t="s">
        <v>685</v>
      </c>
      <c r="G28" s="945" t="s">
        <v>686</v>
      </c>
      <c r="H28" s="982"/>
      <c r="I28"/>
      <c r="J28"/>
      <c r="K28"/>
      <c r="L28"/>
    </row>
    <row r="29" spans="1:12">
      <c r="A29" s="917">
        <f>+A23+1</f>
        <v>15</v>
      </c>
      <c r="B29" s="943" t="s">
        <v>631</v>
      </c>
      <c r="C29" s="979">
        <v>0</v>
      </c>
      <c r="D29" s="979">
        <v>0</v>
      </c>
      <c r="E29" s="979">
        <v>0</v>
      </c>
      <c r="F29" s="979">
        <v>2450850277.3399997</v>
      </c>
      <c r="G29" s="979">
        <v>0</v>
      </c>
      <c r="H29" s="980">
        <f t="shared" ref="H29:H41" si="2">+C29-D29+E29+F29-G29</f>
        <v>2450850277.3399997</v>
      </c>
      <c r="I29"/>
      <c r="J29"/>
      <c r="K29"/>
      <c r="L29"/>
    </row>
    <row r="30" spans="1:12">
      <c r="A30" s="917">
        <f t="shared" ref="A30:A42" si="3">+A29+1</f>
        <v>16</v>
      </c>
      <c r="B30" s="943" t="s">
        <v>185</v>
      </c>
      <c r="C30" s="979">
        <v>0</v>
      </c>
      <c r="D30" s="979">
        <v>0</v>
      </c>
      <c r="E30" s="979">
        <v>0</v>
      </c>
      <c r="F30" s="979">
        <v>2900842009.7299995</v>
      </c>
      <c r="G30" s="979">
        <v>0</v>
      </c>
      <c r="H30" s="980">
        <f t="shared" si="2"/>
        <v>2900842009.7299995</v>
      </c>
      <c r="I30"/>
      <c r="J30"/>
      <c r="K30"/>
      <c r="L30"/>
    </row>
    <row r="31" spans="1:12">
      <c r="A31" s="917">
        <f t="shared" si="3"/>
        <v>17</v>
      </c>
      <c r="B31" s="942" t="s">
        <v>559</v>
      </c>
      <c r="C31" s="979">
        <v>0</v>
      </c>
      <c r="D31" s="979">
        <v>0</v>
      </c>
      <c r="E31" s="979">
        <v>0</v>
      </c>
      <c r="F31" s="979">
        <v>2900833734.1999993</v>
      </c>
      <c r="G31" s="979">
        <v>0</v>
      </c>
      <c r="H31" s="980">
        <f t="shared" si="2"/>
        <v>2900833734.1999993</v>
      </c>
      <c r="I31"/>
      <c r="J31"/>
      <c r="K31"/>
      <c r="L31"/>
    </row>
    <row r="32" spans="1:12">
      <c r="A32" s="917">
        <f t="shared" si="3"/>
        <v>18</v>
      </c>
      <c r="B32" s="942" t="s">
        <v>630</v>
      </c>
      <c r="C32" s="979">
        <v>0</v>
      </c>
      <c r="D32" s="979">
        <v>0</v>
      </c>
      <c r="E32" s="979">
        <v>0</v>
      </c>
      <c r="F32" s="979">
        <v>2900825450.7399993</v>
      </c>
      <c r="G32" s="979">
        <v>0</v>
      </c>
      <c r="H32" s="980">
        <f t="shared" si="2"/>
        <v>2900825450.7399993</v>
      </c>
      <c r="I32"/>
      <c r="J32"/>
      <c r="K32"/>
      <c r="L32"/>
    </row>
    <row r="33" spans="1:12">
      <c r="A33" s="917">
        <f t="shared" si="3"/>
        <v>19</v>
      </c>
      <c r="B33" s="942" t="s">
        <v>187</v>
      </c>
      <c r="C33" s="979">
        <v>0</v>
      </c>
      <c r="D33" s="979">
        <v>0</v>
      </c>
      <c r="E33" s="979">
        <v>0</v>
      </c>
      <c r="F33" s="979">
        <v>2900816899.8699994</v>
      </c>
      <c r="G33" s="979">
        <v>0</v>
      </c>
      <c r="H33" s="980">
        <f t="shared" si="2"/>
        <v>2900816899.8699994</v>
      </c>
      <c r="I33"/>
      <c r="J33"/>
      <c r="K33"/>
      <c r="L33"/>
    </row>
    <row r="34" spans="1:12">
      <c r="A34" s="917">
        <f t="shared" si="3"/>
        <v>20</v>
      </c>
      <c r="B34" s="942" t="s">
        <v>188</v>
      </c>
      <c r="C34" s="979">
        <v>0</v>
      </c>
      <c r="D34" s="979">
        <v>0</v>
      </c>
      <c r="E34" s="979">
        <v>0</v>
      </c>
      <c r="F34" s="979">
        <v>2900808340.8199992</v>
      </c>
      <c r="G34" s="979">
        <v>0</v>
      </c>
      <c r="H34" s="980">
        <f t="shared" si="2"/>
        <v>2900808340.8199992</v>
      </c>
      <c r="I34"/>
      <c r="J34"/>
      <c r="K34"/>
      <c r="L34"/>
    </row>
    <row r="35" spans="1:12">
      <c r="A35" s="917">
        <f t="shared" si="3"/>
        <v>21</v>
      </c>
      <c r="B35" s="942" t="s">
        <v>382</v>
      </c>
      <c r="C35" s="979">
        <v>0</v>
      </c>
      <c r="D35" s="979">
        <v>0</v>
      </c>
      <c r="E35" s="979">
        <v>0</v>
      </c>
      <c r="F35" s="979">
        <v>2900799773.5699992</v>
      </c>
      <c r="G35" s="979">
        <v>0</v>
      </c>
      <c r="H35" s="980">
        <f t="shared" si="2"/>
        <v>2900799773.5699992</v>
      </c>
      <c r="I35"/>
      <c r="J35"/>
      <c r="K35"/>
      <c r="L35"/>
    </row>
    <row r="36" spans="1:12">
      <c r="A36" s="917">
        <f t="shared" si="3"/>
        <v>22</v>
      </c>
      <c r="B36" s="942" t="s">
        <v>189</v>
      </c>
      <c r="C36" s="979">
        <v>0</v>
      </c>
      <c r="D36" s="979">
        <v>0</v>
      </c>
      <c r="E36" s="979">
        <v>0</v>
      </c>
      <c r="F36" s="979">
        <v>2900791198.1199994</v>
      </c>
      <c r="G36" s="979">
        <v>0</v>
      </c>
      <c r="H36" s="980">
        <f t="shared" si="2"/>
        <v>2900791198.1199994</v>
      </c>
      <c r="I36"/>
      <c r="J36"/>
      <c r="K36"/>
      <c r="L36"/>
    </row>
    <row r="37" spans="1:12">
      <c r="A37" s="917">
        <f t="shared" si="3"/>
        <v>23</v>
      </c>
      <c r="B37" s="942" t="s">
        <v>629</v>
      </c>
      <c r="C37" s="979">
        <v>0</v>
      </c>
      <c r="D37" s="979">
        <v>0</v>
      </c>
      <c r="E37" s="979">
        <v>0</v>
      </c>
      <c r="F37" s="979">
        <v>2900782614.4599996</v>
      </c>
      <c r="G37" s="979">
        <v>0</v>
      </c>
      <c r="H37" s="980">
        <f t="shared" si="2"/>
        <v>2900782614.4599996</v>
      </c>
      <c r="I37"/>
      <c r="J37"/>
      <c r="K37"/>
      <c r="L37"/>
    </row>
    <row r="38" spans="1:12">
      <c r="A38" s="917">
        <f t="shared" si="3"/>
        <v>24</v>
      </c>
      <c r="B38" s="942" t="s">
        <v>192</v>
      </c>
      <c r="C38" s="979">
        <v>0</v>
      </c>
      <c r="D38" s="979">
        <v>0</v>
      </c>
      <c r="E38" s="979">
        <v>0</v>
      </c>
      <c r="F38" s="979">
        <v>3500774022.5799994</v>
      </c>
      <c r="G38" s="979">
        <v>0</v>
      </c>
      <c r="H38" s="980">
        <f t="shared" si="2"/>
        <v>3500774022.5799994</v>
      </c>
      <c r="I38"/>
      <c r="J38"/>
      <c r="K38"/>
      <c r="L38"/>
    </row>
    <row r="39" spans="1:12">
      <c r="A39" s="917">
        <f t="shared" si="3"/>
        <v>25</v>
      </c>
      <c r="B39" s="942" t="s">
        <v>560</v>
      </c>
      <c r="C39" s="979">
        <v>0</v>
      </c>
      <c r="D39" s="979">
        <v>0</v>
      </c>
      <c r="E39" s="979">
        <v>0</v>
      </c>
      <c r="F39" s="979">
        <v>3000765422.4699993</v>
      </c>
      <c r="G39" s="979">
        <v>0</v>
      </c>
      <c r="H39" s="980">
        <f t="shared" si="2"/>
        <v>3000765422.4699993</v>
      </c>
      <c r="I39"/>
      <c r="J39"/>
      <c r="K39"/>
      <c r="L39"/>
    </row>
    <row r="40" spans="1:12">
      <c r="A40" s="917">
        <f t="shared" si="3"/>
        <v>26</v>
      </c>
      <c r="B40" s="942" t="s">
        <v>561</v>
      </c>
      <c r="C40" s="979">
        <v>0</v>
      </c>
      <c r="D40" s="979">
        <v>0</v>
      </c>
      <c r="E40" s="979">
        <v>0</v>
      </c>
      <c r="F40" s="979">
        <v>3000756814.1199994</v>
      </c>
      <c r="G40" s="979">
        <v>0</v>
      </c>
      <c r="H40" s="980">
        <f t="shared" si="2"/>
        <v>3000756814.1199994</v>
      </c>
      <c r="I40"/>
      <c r="J40"/>
      <c r="K40"/>
      <c r="L40"/>
    </row>
    <row r="41" spans="1:12">
      <c r="A41" s="915">
        <f t="shared" si="3"/>
        <v>27</v>
      </c>
      <c r="B41" s="941" t="s">
        <v>628</v>
      </c>
      <c r="C41" s="979">
        <v>0</v>
      </c>
      <c r="D41" s="979">
        <v>0</v>
      </c>
      <c r="E41" s="979">
        <v>0</v>
      </c>
      <c r="F41" s="979">
        <v>3000748197.5299993</v>
      </c>
      <c r="G41" s="979">
        <v>0</v>
      </c>
      <c r="H41" s="980">
        <f t="shared" si="2"/>
        <v>3000748197.5299993</v>
      </c>
      <c r="I41"/>
      <c r="J41"/>
      <c r="K41"/>
      <c r="L41"/>
    </row>
    <row r="42" spans="1:12" ht="13.5" thickBot="1">
      <c r="A42" s="940">
        <f t="shared" si="3"/>
        <v>28</v>
      </c>
      <c r="B42" s="939" t="s">
        <v>859</v>
      </c>
      <c r="C42" s="909">
        <f t="shared" ref="C42:H42" si="4">SUM(C29:C41)/13</f>
        <v>0</v>
      </c>
      <c r="D42" s="908">
        <f t="shared" si="4"/>
        <v>0</v>
      </c>
      <c r="E42" s="908">
        <f t="shared" si="4"/>
        <v>0</v>
      </c>
      <c r="F42" s="908">
        <f t="shared" si="4"/>
        <v>2935414981.1961536</v>
      </c>
      <c r="G42" s="908">
        <f t="shared" si="4"/>
        <v>0</v>
      </c>
      <c r="H42" s="981">
        <f t="shared" si="4"/>
        <v>2935414981.1961536</v>
      </c>
      <c r="I42"/>
      <c r="J42"/>
      <c r="K42"/>
      <c r="L42"/>
    </row>
    <row r="43" spans="1:12" ht="13.5" thickTop="1">
      <c r="A43" s="968"/>
      <c r="B43" s="983"/>
      <c r="C43" s="984"/>
      <c r="D43" s="985"/>
      <c r="E43" s="985"/>
      <c r="F43" s="985"/>
      <c r="G43" s="984"/>
      <c r="H43" s="984"/>
      <c r="I43"/>
      <c r="J43"/>
      <c r="K43"/>
      <c r="L43"/>
    </row>
    <row r="44" spans="1:12" ht="12.75" customHeight="1">
      <c r="A44" s="986" t="s">
        <v>687</v>
      </c>
      <c r="F44" s="583"/>
      <c r="G44" s="583"/>
      <c r="H44" s="583"/>
      <c r="I44"/>
      <c r="J44"/>
      <c r="K44"/>
    </row>
    <row r="45" spans="1:12">
      <c r="E45" s="583"/>
      <c r="F45" s="583"/>
      <c r="G45" s="583"/>
      <c r="H45" s="583"/>
      <c r="J45" s="983"/>
    </row>
    <row r="46" spans="1:12" ht="15">
      <c r="A46" s="988" t="s">
        <v>7</v>
      </c>
      <c r="E46" s="583"/>
      <c r="F46" s="583"/>
      <c r="G46" s="583"/>
      <c r="H46" s="906"/>
    </row>
    <row r="47" spans="1:12" ht="15">
      <c r="A47" s="988"/>
      <c r="B47" s="989" t="s">
        <v>638</v>
      </c>
      <c r="C47" s="989" t="s">
        <v>637</v>
      </c>
      <c r="D47" s="990" t="s">
        <v>636</v>
      </c>
      <c r="E47" s="989" t="s">
        <v>635</v>
      </c>
      <c r="F47" s="990" t="s">
        <v>634</v>
      </c>
      <c r="G47" s="989" t="s">
        <v>656</v>
      </c>
      <c r="H47" s="989" t="s">
        <v>657</v>
      </c>
    </row>
    <row r="48" spans="1:12">
      <c r="A48" s="656">
        <f>+A42+1</f>
        <v>29</v>
      </c>
      <c r="B48" s="991" t="str">
        <f>"Annual Interest Expense for "&amp;TCOS!L4</f>
        <v>Annual Interest Expense for 2021</v>
      </c>
      <c r="C48" s="992"/>
      <c r="D48" s="993"/>
      <c r="E48" s="994"/>
      <c r="F48" s="994"/>
      <c r="G48" s="994"/>
      <c r="H48" s="994"/>
      <c r="I48" s="994"/>
      <c r="J48" s="994"/>
      <c r="K48" s="994"/>
      <c r="L48" s="994"/>
    </row>
    <row r="49" spans="1:12">
      <c r="A49" s="656">
        <f t="shared" ref="A49:A56" si="5">+A48+1</f>
        <v>30</v>
      </c>
      <c r="B49" s="1143" t="s">
        <v>759</v>
      </c>
      <c r="C49" s="992"/>
      <c r="D49" s="993"/>
      <c r="E49" s="996">
        <v>123891875.02</v>
      </c>
      <c r="F49" s="994"/>
      <c r="G49" s="994"/>
      <c r="H49" s="994"/>
      <c r="I49" s="994"/>
      <c r="J49" s="994"/>
      <c r="K49" s="994"/>
      <c r="L49" s="994"/>
    </row>
    <row r="50" spans="1:12" ht="28.5" customHeight="1">
      <c r="A50" s="656">
        <f t="shared" si="5"/>
        <v>31</v>
      </c>
      <c r="B50" s="1719" t="str">
        <f>"Less: Total Hedge Gain/Expense Accumulated from p 256-257, col. (i) of FERC Form 1  included in Ln "&amp;A49&amp;" and shown in "&amp;A74&amp;" below."</f>
        <v>Less: Total Hedge Gain/Expense Accumulated from p 256-257, col. (i) of FERC Form 1  included in Ln 30 and shown in 50 below.</v>
      </c>
      <c r="C50" s="1720"/>
      <c r="D50" s="993"/>
      <c r="E50" s="992">
        <f>+C74</f>
        <v>0</v>
      </c>
      <c r="F50" s="994"/>
      <c r="G50" s="994"/>
      <c r="H50" s="994"/>
      <c r="I50" s="994"/>
      <c r="J50" s="994"/>
      <c r="K50" s="994"/>
      <c r="L50" s="994"/>
    </row>
    <row r="51" spans="1:12" ht="16.5" customHeight="1">
      <c r="A51" s="656">
        <f t="shared" si="5"/>
        <v>32</v>
      </c>
      <c r="B51" s="997" t="str">
        <f>"Plus:  Allowed Hedge Recovery From Ln "&amp;A80&amp;"  below."</f>
        <v>Plus:  Allowed Hedge Recovery From Ln 55  below.</v>
      </c>
      <c r="C51" s="1144"/>
      <c r="D51" s="993"/>
      <c r="E51" s="998">
        <f>+E80</f>
        <v>0</v>
      </c>
      <c r="F51" s="994"/>
      <c r="G51" s="994"/>
      <c r="H51" s="994"/>
      <c r="I51" s="994"/>
      <c r="J51" s="994"/>
      <c r="K51" s="994"/>
      <c r="L51" s="994"/>
    </row>
    <row r="52" spans="1:12">
      <c r="A52" s="656">
        <f t="shared" si="5"/>
        <v>33</v>
      </c>
      <c r="B52" s="1143" t="s">
        <v>760</v>
      </c>
      <c r="C52" s="1145"/>
      <c r="D52" s="999"/>
      <c r="E52" s="996">
        <v>2045678.13</v>
      </c>
      <c r="F52" s="994"/>
      <c r="G52" s="994"/>
      <c r="H52" s="994"/>
      <c r="I52" s="994"/>
      <c r="J52" s="994"/>
    </row>
    <row r="53" spans="1:12">
      <c r="A53" s="656">
        <f t="shared" si="5"/>
        <v>34</v>
      </c>
      <c r="B53" s="1143" t="s">
        <v>761</v>
      </c>
      <c r="C53" s="1000"/>
      <c r="D53" s="993"/>
      <c r="E53" s="996">
        <v>1147409.54</v>
      </c>
      <c r="F53" s="994"/>
      <c r="G53" s="994"/>
      <c r="H53" s="994"/>
      <c r="I53" s="994"/>
      <c r="J53" s="994"/>
    </row>
    <row r="54" spans="1:12">
      <c r="A54" s="656">
        <f t="shared" si="5"/>
        <v>35</v>
      </c>
      <c r="B54" s="1143" t="s">
        <v>762</v>
      </c>
      <c r="C54" s="1000"/>
      <c r="D54" s="993"/>
      <c r="E54" s="996"/>
      <c r="F54" s="994"/>
      <c r="G54" s="994"/>
      <c r="H54" s="994"/>
      <c r="I54" s="994"/>
      <c r="J54" s="994"/>
    </row>
    <row r="55" spans="1:12" ht="13.5" thickBot="1">
      <c r="A55" s="656">
        <f t="shared" si="5"/>
        <v>36</v>
      </c>
      <c r="B55" s="1143" t="s">
        <v>763</v>
      </c>
      <c r="C55" s="1000"/>
      <c r="D55" s="993"/>
      <c r="E55" s="1001"/>
      <c r="F55" s="994"/>
      <c r="G55" s="994"/>
      <c r="H55" s="994"/>
      <c r="I55" s="994"/>
      <c r="J55" s="994"/>
    </row>
    <row r="56" spans="1:12">
      <c r="A56" s="656">
        <f t="shared" si="5"/>
        <v>37</v>
      </c>
      <c r="B56" s="991" t="str">
        <f>"Total Interest Expense (Ln "&amp;A49&amp;" - "&amp;A50&amp;" + "&amp;A52&amp;" + "&amp;A53&amp;" - "&amp;A54&amp;" - "&amp;A55&amp;")"</f>
        <v>Total Interest Expense (Ln 30 - 31 + 33 + 34 - 35 - 36)</v>
      </c>
      <c r="C56" s="1002"/>
      <c r="D56" s="1003"/>
      <c r="E56" s="1004">
        <f>+E49-E50+E51+E52+E53-E54-E55</f>
        <v>127084962.69</v>
      </c>
      <c r="F56" s="994"/>
      <c r="G56" s="994"/>
      <c r="H56" s="994"/>
      <c r="I56" s="994"/>
      <c r="J56" s="994"/>
    </row>
    <row r="57" spans="1:12" ht="13.5" thickBot="1">
      <c r="A57" s="656"/>
      <c r="B57" s="995"/>
      <c r="C57" s="1000"/>
      <c r="D57" s="993"/>
      <c r="E57" s="1004"/>
      <c r="F57" s="994"/>
      <c r="G57" s="994"/>
      <c r="H57" s="994"/>
      <c r="I57" s="994"/>
      <c r="J57" s="994"/>
    </row>
    <row r="58" spans="1:12" ht="13.5" thickBot="1">
      <c r="A58" s="656">
        <f>+A56+1</f>
        <v>38</v>
      </c>
      <c r="B58" s="991" t="str">
        <f>"Average Cost of Debt for "&amp;TCOS!L4&amp;" (Ln "&amp;A56&amp;"/ ln "&amp;A42&amp;" (g))"</f>
        <v>Average Cost of Debt for 2021 (Ln 37/ ln 28 (g))</v>
      </c>
      <c r="C58" s="1002"/>
      <c r="D58" s="993"/>
      <c r="E58" s="1005">
        <f>+E56/H42</f>
        <v>4.3293695611723727E-2</v>
      </c>
      <c r="F58" s="994"/>
      <c r="G58" s="994"/>
      <c r="H58" s="994"/>
      <c r="I58" s="994"/>
      <c r="J58" s="994"/>
    </row>
    <row r="59" spans="1:12">
      <c r="A59" s="1006"/>
      <c r="B59" s="995"/>
      <c r="C59" s="1000"/>
      <c r="D59" s="993"/>
      <c r="E59" s="1000"/>
      <c r="F59" s="994"/>
      <c r="G59" s="994"/>
      <c r="H59" s="994"/>
      <c r="I59" s="994"/>
      <c r="J59" s="994"/>
    </row>
    <row r="60" spans="1:12" s="1008" customFormat="1" ht="28.5" customHeight="1">
      <c r="A60" s="767"/>
      <c r="B60" s="1721" t="s">
        <v>0</v>
      </c>
      <c r="C60" s="1721"/>
      <c r="D60" s="1721"/>
      <c r="E60" s="1721"/>
      <c r="F60" s="768"/>
      <c r="G60" s="1007"/>
    </row>
    <row r="61" spans="1:12" s="1008" customFormat="1" ht="107.25" customHeight="1">
      <c r="A61" s="769">
        <f>+A58+1</f>
        <v>39</v>
      </c>
      <c r="B61" s="1722" t="s">
        <v>312</v>
      </c>
      <c r="C61" s="1723"/>
      <c r="D61" s="1723"/>
      <c r="E61" s="1723"/>
      <c r="F61" s="583"/>
      <c r="G61" s="1007"/>
    </row>
    <row r="62" spans="1:12" s="1008" customFormat="1" ht="12" customHeight="1">
      <c r="A62" s="767"/>
      <c r="B62" s="770"/>
      <c r="C62" s="770"/>
      <c r="D62" s="770"/>
      <c r="E62" s="770"/>
      <c r="F62" s="1007"/>
      <c r="G62" s="1724" t="s">
        <v>232</v>
      </c>
      <c r="H62" s="1724"/>
    </row>
    <row r="63" spans="1:12" s="1008" customFormat="1" ht="52.5" customHeight="1">
      <c r="A63" s="597"/>
      <c r="B63" s="1575" t="s">
        <v>359</v>
      </c>
      <c r="C63" s="1009" t="str">
        <f>"Total Hedge (Gain)/Loss for "&amp;TCOS!L4</f>
        <v>Total Hedge (Gain)/Loss for 2021</v>
      </c>
      <c r="D63" s="1009" t="str">
        <f>"Less Excludable Amounts (See NOTE on Line "&amp;A61&amp;")"</f>
        <v>Less Excludable Amounts (See NOTE on Line 39)</v>
      </c>
      <c r="E63" s="1009" t="s">
        <v>1</v>
      </c>
      <c r="F63" s="1009" t="s">
        <v>231</v>
      </c>
      <c r="G63" s="1009" t="s">
        <v>283</v>
      </c>
      <c r="H63" s="1009" t="s">
        <v>285</v>
      </c>
    </row>
    <row r="64" spans="1:12" s="1008" customFormat="1" ht="12.75" customHeight="1">
      <c r="A64" s="597">
        <f>+A61+1</f>
        <v>40</v>
      </c>
      <c r="B64" s="1240" t="s">
        <v>929</v>
      </c>
      <c r="C64" s="875">
        <v>0</v>
      </c>
      <c r="D64" s="1010">
        <v>0</v>
      </c>
      <c r="E64" s="1011">
        <f t="shared" ref="E64:E72" si="6">+C64-D64</f>
        <v>0</v>
      </c>
      <c r="F64" s="875">
        <v>0</v>
      </c>
      <c r="G64" s="1012">
        <v>38869</v>
      </c>
      <c r="H64" s="1012">
        <v>42522</v>
      </c>
      <c r="I64" s="330"/>
      <c r="J64" s="330"/>
    </row>
    <row r="65" spans="1:8" s="1008" customFormat="1" ht="12.75" customHeight="1">
      <c r="A65" s="597">
        <f t="shared" ref="A65:A74" si="7">+A64+1</f>
        <v>41</v>
      </c>
      <c r="B65" s="1240" t="s">
        <v>930</v>
      </c>
      <c r="C65" s="875">
        <v>0</v>
      </c>
      <c r="D65" s="1010">
        <v>0</v>
      </c>
      <c r="E65" s="1011">
        <f t="shared" si="6"/>
        <v>0</v>
      </c>
      <c r="F65" s="875">
        <v>0</v>
      </c>
      <c r="G65" s="1012">
        <v>40057</v>
      </c>
      <c r="H65" s="1012">
        <v>43709</v>
      </c>
    </row>
    <row r="66" spans="1:8" s="1008" customFormat="1" ht="12.75" customHeight="1">
      <c r="A66" s="597">
        <f t="shared" si="7"/>
        <v>42</v>
      </c>
      <c r="B66" s="1010"/>
      <c r="C66" s="875"/>
      <c r="D66" s="1013"/>
      <c r="E66" s="1011">
        <f t="shared" si="6"/>
        <v>0</v>
      </c>
      <c r="F66" s="875"/>
      <c r="G66" s="1012"/>
      <c r="H66" s="1012"/>
    </row>
    <row r="67" spans="1:8" s="1008" customFormat="1" ht="12.75" customHeight="1">
      <c r="A67" s="597">
        <f t="shared" si="7"/>
        <v>43</v>
      </c>
      <c r="B67" s="1010"/>
      <c r="C67" s="875"/>
      <c r="D67" s="1013"/>
      <c r="E67" s="1011">
        <f t="shared" si="6"/>
        <v>0</v>
      </c>
      <c r="F67" s="875"/>
      <c r="G67" s="1012"/>
      <c r="H67" s="1012"/>
    </row>
    <row r="68" spans="1:8" s="1008" customFormat="1" ht="12.75" customHeight="1">
      <c r="A68" s="597">
        <f t="shared" si="7"/>
        <v>44</v>
      </c>
      <c r="B68" s="1010"/>
      <c r="C68" s="875"/>
      <c r="D68" s="1010"/>
      <c r="E68" s="1011">
        <f t="shared" si="6"/>
        <v>0</v>
      </c>
      <c r="F68" s="875"/>
      <c r="G68" s="1012"/>
      <c r="H68" s="1012"/>
    </row>
    <row r="69" spans="1:8" s="1008" customFormat="1" ht="12.75" customHeight="1">
      <c r="A69" s="597">
        <f t="shared" si="7"/>
        <v>45</v>
      </c>
      <c r="B69" s="1010"/>
      <c r="C69" s="875"/>
      <c r="D69" s="1010"/>
      <c r="E69" s="1011">
        <f t="shared" si="6"/>
        <v>0</v>
      </c>
      <c r="F69" s="875"/>
      <c r="G69" s="1012"/>
      <c r="H69" s="1012"/>
    </row>
    <row r="70" spans="1:8" s="1008" customFormat="1" ht="12.75" customHeight="1">
      <c r="A70" s="597">
        <f t="shared" si="7"/>
        <v>46</v>
      </c>
      <c r="B70" s="1010"/>
      <c r="C70" s="875"/>
      <c r="D70" s="1010"/>
      <c r="E70" s="1011">
        <f t="shared" si="6"/>
        <v>0</v>
      </c>
      <c r="F70" s="875"/>
      <c r="G70" s="1012"/>
      <c r="H70" s="1012"/>
    </row>
    <row r="71" spans="1:8" s="1008" customFormat="1" ht="12.75" customHeight="1">
      <c r="A71" s="597">
        <f t="shared" si="7"/>
        <v>47</v>
      </c>
      <c r="B71" s="1010"/>
      <c r="C71" s="875"/>
      <c r="D71" s="1014"/>
      <c r="E71" s="1011">
        <f t="shared" si="6"/>
        <v>0</v>
      </c>
      <c r="F71" s="875"/>
      <c r="G71" s="1012"/>
      <c r="H71" s="1012"/>
    </row>
    <row r="72" spans="1:8" s="1008" customFormat="1" ht="12.75" customHeight="1">
      <c r="A72" s="597">
        <f t="shared" si="7"/>
        <v>48</v>
      </c>
      <c r="B72" s="1010"/>
      <c r="C72" s="875"/>
      <c r="D72" s="996"/>
      <c r="E72" s="1011">
        <f t="shared" si="6"/>
        <v>0</v>
      </c>
      <c r="F72" s="1015"/>
      <c r="G72" s="1015"/>
      <c r="H72" s="1015"/>
    </row>
    <row r="73" spans="1:8" s="1008" customFormat="1" ht="12.75" customHeight="1">
      <c r="A73" s="597">
        <f t="shared" si="7"/>
        <v>49</v>
      </c>
      <c r="B73" s="542"/>
      <c r="C73" s="1016"/>
      <c r="D73" s="1016"/>
      <c r="E73" s="1017"/>
      <c r="F73" s="1011">
        <f>SUM(F64:F72)</f>
        <v>0</v>
      </c>
      <c r="G73" s="1007"/>
    </row>
    <row r="74" spans="1:8" s="1008" customFormat="1" ht="12.75" customHeight="1">
      <c r="A74" s="597">
        <f t="shared" si="7"/>
        <v>50</v>
      </c>
      <c r="B74" s="995" t="s">
        <v>8</v>
      </c>
      <c r="C74" s="1004">
        <f>SUM(C64:C72)</f>
        <v>0</v>
      </c>
      <c r="D74" s="1004">
        <f>SUM(D64:D72)</f>
        <v>0</v>
      </c>
      <c r="F74" s="1007"/>
      <c r="G74" s="1007"/>
    </row>
    <row r="75" spans="1:8" s="1008" customFormat="1" ht="21" customHeight="1">
      <c r="A75" s="597"/>
      <c r="B75" s="995"/>
      <c r="C75" s="1004"/>
      <c r="D75" s="1004"/>
      <c r="E75" s="1004"/>
      <c r="F75" s="1007"/>
      <c r="G75" s="1007"/>
    </row>
    <row r="76" spans="1:8" s="1008" customFormat="1" ht="14.25" customHeight="1">
      <c r="A76" s="597">
        <f>+A74+1</f>
        <v>51</v>
      </c>
      <c r="B76" s="995" t="str">
        <f>"Hedge Gain or Loss Prior to Application of Recovery Limit (Sum of Lines "&amp;A64&amp;" to "&amp;A72&amp;")"</f>
        <v>Hedge Gain or Loss Prior to Application of Recovery Limit (Sum of Lines 40 to 48)</v>
      </c>
      <c r="C76" s="1004"/>
      <c r="D76" s="1004"/>
      <c r="E76" s="1004">
        <f>SUM(E64:E72)</f>
        <v>0</v>
      </c>
      <c r="F76" s="1007"/>
      <c r="G76" s="1007"/>
    </row>
    <row r="77" spans="1:8" s="1008" customFormat="1" ht="12.75" customHeight="1">
      <c r="A77" s="597">
        <f>+A76+1</f>
        <v>52</v>
      </c>
      <c r="B77" s="1018" t="str">
        <f>"Total Average Capital Structure Balance for "&amp;TCOS!L4&amp;" (TCOS, Ln "&amp;TCOS!B258&amp;")"</f>
        <v>Total Average Capital Structure Balance for 2021 (TCOS, Ln 157)</v>
      </c>
      <c r="C77" s="1000"/>
      <c r="D77" s="993"/>
      <c r="E77" s="1019">
        <f>TCOS!G258</f>
        <v>5707720417.8065395</v>
      </c>
      <c r="F77" s="1007"/>
      <c r="G77" s="1007"/>
      <c r="H77" s="1020"/>
    </row>
    <row r="78" spans="1:8" s="1008" customFormat="1" ht="12.75" customHeight="1">
      <c r="A78" s="597">
        <f>+A77+1</f>
        <v>53</v>
      </c>
      <c r="B78" s="995" t="s">
        <v>489</v>
      </c>
      <c r="C78" s="1000"/>
      <c r="D78" s="993"/>
      <c r="E78" s="1021">
        <v>5.0000000000000001E-4</v>
      </c>
      <c r="F78" s="1007"/>
      <c r="G78" s="1022"/>
    </row>
    <row r="79" spans="1:8" s="1008" customFormat="1" ht="12.75" customHeight="1" thickBot="1">
      <c r="A79" s="597">
        <f>+A78+1</f>
        <v>54</v>
      </c>
      <c r="B79" s="995" t="s">
        <v>490</v>
      </c>
      <c r="C79" s="1000"/>
      <c r="D79" s="993"/>
      <c r="E79" s="1023">
        <f>+E77*E78</f>
        <v>2853860.2089032698</v>
      </c>
      <c r="F79" s="1007"/>
      <c r="G79" s="1007"/>
    </row>
    <row r="80" spans="1:8" s="1008" customFormat="1" ht="12.75" customHeight="1" thickBot="1">
      <c r="A80" s="597">
        <f>+A79+1</f>
        <v>55</v>
      </c>
      <c r="B80" s="991" t="str">
        <f>"Recoverable Hedge Amortization (Lesser of Ln "&amp;A76&amp;" or Ln "&amp;A79&amp;")"</f>
        <v>Recoverable Hedge Amortization (Lesser of Ln 51 or Ln 54)</v>
      </c>
      <c r="C80" s="1000"/>
      <c r="D80" s="993"/>
      <c r="E80" s="1024">
        <f>+IF(E79&lt;E76,E79,E76)</f>
        <v>0</v>
      </c>
      <c r="F80" s="1007"/>
      <c r="G80" s="1007"/>
    </row>
    <row r="81" spans="1:7" s="1008" customFormat="1" ht="12.75" customHeight="1">
      <c r="A81" s="597"/>
      <c r="B81" s="995"/>
      <c r="C81" s="1000"/>
      <c r="D81" s="993"/>
      <c r="E81" s="1000"/>
      <c r="F81" s="1007"/>
      <c r="G81" s="1007"/>
    </row>
    <row r="82" spans="1:7" s="1008" customFormat="1" ht="12.75" customHeight="1">
      <c r="A82" s="1025" t="s">
        <v>9</v>
      </c>
      <c r="B82" s="1026"/>
      <c r="C82" s="1000"/>
      <c r="D82" s="993"/>
      <c r="E82" s="1000"/>
      <c r="F82" s="1007"/>
      <c r="G82" s="1007"/>
    </row>
    <row r="83" spans="1:7" s="1008" customFormat="1" ht="12.75" customHeight="1">
      <c r="A83" s="597"/>
      <c r="B83" s="995"/>
      <c r="C83" s="1000"/>
      <c r="D83" s="993"/>
      <c r="E83" s="1000"/>
      <c r="F83" s="1007"/>
      <c r="G83" s="1007"/>
    </row>
    <row r="84" spans="1:7" s="1008" customFormat="1" ht="12.75" customHeight="1">
      <c r="A84" s="597"/>
      <c r="B84" s="1027" t="s">
        <v>258</v>
      </c>
      <c r="C84" s="1028"/>
      <c r="D84" s="1029"/>
      <c r="E84" s="1028" t="s">
        <v>506</v>
      </c>
      <c r="F84" s="1007"/>
      <c r="G84" s="1007"/>
    </row>
    <row r="85" spans="1:7" s="1008" customFormat="1" ht="12.75" customHeight="1">
      <c r="A85" s="597">
        <f>+A80+1</f>
        <v>56</v>
      </c>
      <c r="B85" s="993" t="str">
        <f>""&amp;C$85*100&amp;"% Series - "&amp;C$86&amp;" - Dividend Rate (p. 250-251)"</f>
        <v>0% Series - 0 - Dividend Rate (p. 250-251)</v>
      </c>
      <c r="C85" s="1030">
        <v>0</v>
      </c>
      <c r="D85" s="1030">
        <v>0</v>
      </c>
      <c r="E85" s="1028"/>
      <c r="F85" s="1007"/>
      <c r="G85" s="1007"/>
    </row>
    <row r="86" spans="1:7" s="1008" customFormat="1" ht="12.75" customHeight="1">
      <c r="A86" s="597">
        <f>+A85+1</f>
        <v>57</v>
      </c>
      <c r="B86" s="993" t="str">
        <f>""&amp;C$85*100&amp;"% Series - "&amp;C$86&amp;" - Par Value (p. 250-251)"</f>
        <v>0% Series - 0 - Par Value (p. 250-251)</v>
      </c>
      <c r="C86" s="1031">
        <v>0</v>
      </c>
      <c r="D86" s="1031">
        <v>0</v>
      </c>
      <c r="E86" s="1028"/>
      <c r="F86" s="1007"/>
      <c r="G86" s="1007"/>
    </row>
    <row r="87" spans="1:7" s="1008" customFormat="1" ht="12.75" customHeight="1">
      <c r="A87" s="597">
        <f>+A86+1</f>
        <v>58</v>
      </c>
      <c r="B87" s="993" t="str">
        <f>""&amp;C$85*100&amp;"% Series - "&amp;C$86&amp;" - Shares O/S (p.250-251) "</f>
        <v xml:space="preserve">0% Series - 0 - Shares O/S (p.250-251) </v>
      </c>
      <c r="C87" s="996">
        <v>0</v>
      </c>
      <c r="D87" s="996">
        <v>0</v>
      </c>
      <c r="E87" s="1032"/>
      <c r="F87" s="1007"/>
      <c r="G87" s="1007"/>
    </row>
    <row r="88" spans="1:7" s="1008" customFormat="1" ht="12.75" customHeight="1">
      <c r="A88" s="597">
        <f>+A87+1</f>
        <v>59</v>
      </c>
      <c r="B88" s="993" t="str">
        <f>""&amp;C$85*100&amp;"% Series - "&amp;C$86&amp;" - Monetary Value (Ln "&amp;A86&amp;" * Ln "&amp;A87&amp;")"</f>
        <v>0% Series - 0 - Monetary Value (Ln 57 * Ln 58)</v>
      </c>
      <c r="C88" s="1033">
        <f>+C87*C86</f>
        <v>0</v>
      </c>
      <c r="D88" s="1033">
        <f>+D87*D86</f>
        <v>0</v>
      </c>
      <c r="E88" s="1034">
        <f>IF(C88=D88=0,0,AVERAGE(C88:D88))</f>
        <v>0</v>
      </c>
      <c r="F88" s="1007"/>
      <c r="G88" s="1007"/>
    </row>
    <row r="89" spans="1:7" s="1008" customFormat="1" ht="12.75" customHeight="1">
      <c r="A89" s="597">
        <f>+A88+1</f>
        <v>60</v>
      </c>
      <c r="B89" s="993" t="str">
        <f>""&amp;C$85*100&amp;"% Series - "&amp;C$86&amp;" -  Dividend Amount (Ln "&amp;A85&amp;" * Ln "&amp;A88&amp;")"</f>
        <v>0% Series - 0 -  Dividend Amount (Ln 56 * Ln 59)</v>
      </c>
      <c r="C89" s="1033">
        <f>+C88*C85</f>
        <v>0</v>
      </c>
      <c r="D89" s="1033">
        <f>+D88*D85</f>
        <v>0</v>
      </c>
      <c r="E89" s="1034">
        <f>IF(C89=D89=0,0,AVERAGE(C89:D89))</f>
        <v>0</v>
      </c>
      <c r="F89" s="1007"/>
      <c r="G89" s="1007"/>
    </row>
    <row r="90" spans="1:7" s="1008" customFormat="1" ht="12.75" customHeight="1">
      <c r="A90" s="597"/>
      <c r="B90" s="993"/>
      <c r="C90" s="1033"/>
      <c r="D90" s="1022"/>
      <c r="E90" s="1035"/>
      <c r="F90" s="1007"/>
      <c r="G90" s="1007"/>
    </row>
    <row r="91" spans="1:7" s="1008" customFormat="1" ht="12.75" customHeight="1">
      <c r="A91" s="597">
        <f>+A89+1</f>
        <v>61</v>
      </c>
      <c r="B91" s="993" t="str">
        <f>""&amp;C$91*100&amp;"% Series - "&amp;C$92&amp;" - Dividend Rate (p. 250-251)"</f>
        <v>0% Series - 0 - Dividend Rate (p. 250-251)</v>
      </c>
      <c r="C91" s="1030">
        <v>0</v>
      </c>
      <c r="D91" s="1030">
        <v>0</v>
      </c>
      <c r="E91" s="1035"/>
      <c r="F91" s="1007"/>
      <c r="G91" s="1007"/>
    </row>
    <row r="92" spans="1:7" s="1008" customFormat="1" ht="12.75" customHeight="1">
      <c r="A92" s="597">
        <f>+A91+1</f>
        <v>62</v>
      </c>
      <c r="B92" s="993" t="str">
        <f>""&amp;C$91*100&amp;"% Series - "&amp;C$92&amp;" - Par Value (p. 250-251)"</f>
        <v>0% Series - 0 - Par Value (p. 250-251)</v>
      </c>
      <c r="C92" s="1031">
        <v>0</v>
      </c>
      <c r="D92" s="1031">
        <v>0</v>
      </c>
      <c r="E92" s="1035"/>
      <c r="F92" s="1007"/>
      <c r="G92" s="1007"/>
    </row>
    <row r="93" spans="1:7" s="1008" customFormat="1" ht="12.75" customHeight="1">
      <c r="A93" s="597">
        <f>+A92+1</f>
        <v>63</v>
      </c>
      <c r="B93" s="993" t="str">
        <f>""&amp;C$91*100&amp;"% Series - "&amp;C$92&amp;" - Shares O/S (p.250-251) "</f>
        <v xml:space="preserve">0% Series - 0 - Shares O/S (p.250-251) </v>
      </c>
      <c r="C93" s="996">
        <v>0</v>
      </c>
      <c r="D93" s="996">
        <v>0</v>
      </c>
      <c r="E93" s="1035"/>
      <c r="F93" s="1007"/>
      <c r="G93" s="1007"/>
    </row>
    <row r="94" spans="1:7" s="1008" customFormat="1" ht="12.75" customHeight="1">
      <c r="A94" s="597">
        <f>+A93+1</f>
        <v>64</v>
      </c>
      <c r="B94" s="993" t="str">
        <f>""&amp;C$91*100&amp;"% Series - "&amp;C$92&amp;" - Monetary Value (Ln "&amp;A92&amp;" * Ln "&amp;A93&amp;")"</f>
        <v>0% Series - 0 - Monetary Value (Ln 62 * Ln 63)</v>
      </c>
      <c r="C94" s="992">
        <f>+C93*C92</f>
        <v>0</v>
      </c>
      <c r="D94" s="992">
        <f>+D93*D92</f>
        <v>0</v>
      </c>
      <c r="E94" s="1034">
        <f>IF(C94=D94=0,0,AVERAGE(C94:D94))</f>
        <v>0</v>
      </c>
      <c r="F94" s="1007"/>
      <c r="G94" s="1007"/>
    </row>
    <row r="95" spans="1:7" s="1008" customFormat="1" ht="12.75" customHeight="1">
      <c r="A95" s="597">
        <f>+A94+1</f>
        <v>65</v>
      </c>
      <c r="B95" s="993" t="str">
        <f>""&amp;C$91*100&amp;"% Series - "&amp;C$92&amp;" -  Dividend Amount (Ln "&amp;A91&amp;" * Ln "&amp;A94&amp;")"</f>
        <v>0% Series - 0 -  Dividend Amount (Ln 61 * Ln 64)</v>
      </c>
      <c r="C95" s="992">
        <f>+C94*C91</f>
        <v>0</v>
      </c>
      <c r="D95" s="992">
        <f>+D94*D91</f>
        <v>0</v>
      </c>
      <c r="E95" s="1034">
        <f>IF(C95=D95=0,0,AVERAGE(C95:D95))</f>
        <v>0</v>
      </c>
      <c r="F95" s="1007"/>
      <c r="G95" s="1007"/>
    </row>
    <row r="96" spans="1:7" s="1008" customFormat="1" ht="12.75" customHeight="1">
      <c r="A96" s="597"/>
      <c r="B96" s="993"/>
      <c r="C96" s="992"/>
      <c r="D96" s="992"/>
      <c r="E96" s="1034"/>
      <c r="F96" s="1007"/>
      <c r="G96" s="1007"/>
    </row>
    <row r="97" spans="1:7" s="1008" customFormat="1" ht="12.75" customHeight="1">
      <c r="A97" s="597">
        <f>+A95+1</f>
        <v>66</v>
      </c>
      <c r="B97" s="993" t="str">
        <f>""&amp;C$97*100&amp;"% Series - "&amp;C$98&amp;" - Dividend Rate (p. 250-251)"</f>
        <v>0% Series - 0 - Dividend Rate (p. 250-251)</v>
      </c>
      <c r="C97" s="1030">
        <v>0</v>
      </c>
      <c r="D97" s="1030">
        <v>0</v>
      </c>
      <c r="E97" s="1034"/>
      <c r="F97" s="1007"/>
      <c r="G97" s="1007"/>
    </row>
    <row r="98" spans="1:7" s="1008" customFormat="1" ht="12.75" customHeight="1">
      <c r="A98" s="597">
        <f>+A97+1</f>
        <v>67</v>
      </c>
      <c r="B98" s="993" t="str">
        <f>""&amp;C$97*100&amp;"% Series - "&amp;C$98&amp;" - Par Value (p. 250-251)"</f>
        <v>0% Series - 0 - Par Value (p. 250-251)</v>
      </c>
      <c r="C98" s="1031">
        <v>0</v>
      </c>
      <c r="D98" s="1031">
        <v>0</v>
      </c>
      <c r="E98" s="1034"/>
      <c r="F98" s="1007"/>
      <c r="G98" s="1007"/>
    </row>
    <row r="99" spans="1:7" s="1008" customFormat="1" ht="12.75" customHeight="1">
      <c r="A99" s="597">
        <f>+A98+1</f>
        <v>68</v>
      </c>
      <c r="B99" s="993" t="str">
        <f>""&amp;C$97*100&amp;"% Series - "&amp;C$98&amp;" - Shares O/S (p.250-251) "</f>
        <v xml:space="preserve">0% Series - 0 - Shares O/S (p.250-251) </v>
      </c>
      <c r="C99" s="996">
        <v>0</v>
      </c>
      <c r="D99" s="996">
        <v>0</v>
      </c>
      <c r="E99" s="1035"/>
      <c r="F99" s="1007"/>
      <c r="G99" s="1007"/>
    </row>
    <row r="100" spans="1:7" s="1008" customFormat="1" ht="12.75" customHeight="1">
      <c r="A100" s="597">
        <f>+A99+1</f>
        <v>69</v>
      </c>
      <c r="B100" s="993" t="str">
        <f>""&amp;C$97*100&amp;"% Series - "&amp;C$98&amp;" - Monetary Value (Ln "&amp;A98&amp;" * Ln "&amp;A99&amp;")"</f>
        <v>0% Series - 0 - Monetary Value (Ln 67 * Ln 68)</v>
      </c>
      <c r="C100" s="992">
        <f>+C99*C98</f>
        <v>0</v>
      </c>
      <c r="D100" s="992">
        <f>+D99*D98</f>
        <v>0</v>
      </c>
      <c r="E100" s="1034">
        <f>IF(C100=D100=0,0,AVERAGE(C100:D100))</f>
        <v>0</v>
      </c>
      <c r="F100" s="1007"/>
      <c r="G100" s="1007"/>
    </row>
    <row r="101" spans="1:7" s="1008" customFormat="1" ht="12.75" customHeight="1">
      <c r="A101" s="597">
        <f>+A100+1</f>
        <v>70</v>
      </c>
      <c r="B101" s="993" t="str">
        <f>""&amp;C$97*100&amp;"% Series - "&amp;C$98&amp;" -  Dividend Amount (Ln "&amp;A97&amp;" * Ln "&amp;A100&amp;")"</f>
        <v>0% Series - 0 -  Dividend Amount (Ln 66 * Ln 69)</v>
      </c>
      <c r="C101" s="992">
        <f>+C100*C97</f>
        <v>0</v>
      </c>
      <c r="D101" s="992">
        <f>+D100*D97</f>
        <v>0</v>
      </c>
      <c r="E101" s="1034">
        <f>IF(C101=D101=0,0,AVERAGE(C101:D101))</f>
        <v>0</v>
      </c>
      <c r="F101" s="1007"/>
      <c r="G101" s="1007"/>
    </row>
    <row r="102" spans="1:7" s="1008" customFormat="1" ht="12.75" customHeight="1">
      <c r="A102" s="597"/>
      <c r="B102" s="993"/>
      <c r="C102" s="992"/>
      <c r="D102" s="992"/>
      <c r="E102" s="1007"/>
      <c r="F102" s="1007"/>
      <c r="G102" s="1007"/>
    </row>
    <row r="103" spans="1:7" s="1008" customFormat="1" ht="12.75" customHeight="1">
      <c r="A103" s="597">
        <f>+A101+1</f>
        <v>71</v>
      </c>
      <c r="B103" s="1003" t="str">
        <f>"Balance of Preferred Stock (Lns "&amp;A88&amp;", "&amp;A94&amp;", "&amp;A100&amp;")"</f>
        <v>Balance of Preferred Stock (Lns 59, 64, 69)</v>
      </c>
      <c r="C103" s="992">
        <f>+C88+C94+C100</f>
        <v>0</v>
      </c>
      <c r="D103" s="992">
        <f>+D88+D94+D100</f>
        <v>0</v>
      </c>
      <c r="E103" s="1036">
        <f>+E88+E94+E100</f>
        <v>0</v>
      </c>
      <c r="F103" s="993" t="s">
        <v>313</v>
      </c>
      <c r="G103" s="1007"/>
    </row>
    <row r="104" spans="1:7" s="1008" customFormat="1" ht="12.75" customHeight="1" thickBot="1">
      <c r="A104" s="597">
        <f>+A103+1</f>
        <v>72</v>
      </c>
      <c r="B104" s="1003" t="str">
        <f>"Dividends on Preferred Stock (Lns "&amp;A89&amp;", "&amp;A95&amp;", "&amp;A101&amp;")"</f>
        <v>Dividends on Preferred Stock (Lns 60, 65, 70)</v>
      </c>
      <c r="C104" s="1037">
        <f>+C95+C89+C101</f>
        <v>0</v>
      </c>
      <c r="D104" s="1037">
        <f>+D95+D89+D101</f>
        <v>0</v>
      </c>
      <c r="E104" s="1038">
        <f>+E101+E95+E89</f>
        <v>0</v>
      </c>
      <c r="F104" s="1007"/>
      <c r="G104" s="1007"/>
    </row>
    <row r="105" spans="1:7" s="1008" customFormat="1" ht="12.75" customHeight="1" thickBot="1">
      <c r="A105" s="597">
        <f>+A104+1</f>
        <v>73</v>
      </c>
      <c r="B105" s="1039" t="str">
        <f>"Average Cost of Preferred Stock (Ln "&amp;A104&amp;"/"&amp;A103&amp;")"</f>
        <v>Average Cost of Preferred Stock (Ln 72/71)</v>
      </c>
      <c r="C105" s="1000">
        <f>IF(C103=0,0,C104/C103)</f>
        <v>0</v>
      </c>
      <c r="D105" s="1000">
        <f>IF(D103=0,0,D104/D103)</f>
        <v>0</v>
      </c>
      <c r="E105" s="1005">
        <f>IF(E103=0,0,+E104/E103)</f>
        <v>0</v>
      </c>
      <c r="F105" s="1007"/>
      <c r="G105" s="1007"/>
    </row>
    <row r="147" spans="7:7">
      <c r="G147" s="967" t="s">
        <v>114</v>
      </c>
    </row>
    <row r="164" spans="7:12">
      <c r="G164" s="1296"/>
      <c r="L164" s="1296"/>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topLeftCell="A25" zoomScale="70" zoomScaleNormal="100" zoomScaleSheetLayoutView="70" zoomScalePageLayoutView="50" workbookViewId="0">
      <selection activeCell="H53" sqref="H53"/>
    </sheetView>
  </sheetViews>
  <sheetFormatPr defaultColWidth="11.42578125" defaultRowHeight="12.75"/>
  <cols>
    <col min="1" max="1" width="10.42578125" style="902" customWidth="1"/>
    <col min="2" max="2" width="64.5703125" style="224" customWidth="1"/>
    <col min="3" max="3" width="26.5703125" style="224" bestFit="1" customWidth="1"/>
    <col min="4" max="11" width="20.42578125" style="224" customWidth="1"/>
    <col min="12" max="12" width="20" style="224" customWidth="1"/>
    <col min="13" max="14" width="15.140625" style="224" customWidth="1"/>
    <col min="15" max="16384" width="11.42578125" style="224"/>
  </cols>
  <sheetData>
    <row r="1" spans="1:12" ht="15">
      <c r="A1" s="1653" t="s">
        <v>387</v>
      </c>
      <c r="B1" s="1653"/>
      <c r="C1" s="1653"/>
      <c r="D1" s="1653"/>
      <c r="E1" s="1653"/>
      <c r="F1" s="1653"/>
      <c r="G1" s="1653"/>
      <c r="H1" s="906"/>
      <c r="I1" s="906"/>
    </row>
    <row r="2" spans="1:12" ht="15">
      <c r="A2" s="1654" t="str">
        <f>"Cost of Service Formula Rate Using Actual/Projected FF1 Balances"</f>
        <v>Cost of Service Formula Rate Using Actual/Projected FF1 Balances</v>
      </c>
      <c r="B2" s="1654"/>
      <c r="C2" s="1654"/>
      <c r="D2" s="1654"/>
      <c r="E2" s="1654"/>
      <c r="F2" s="1654"/>
      <c r="G2" s="1654"/>
      <c r="H2" s="906"/>
      <c r="I2" s="906"/>
      <c r="J2" s="906"/>
      <c r="L2" s="954"/>
    </row>
    <row r="3" spans="1:12" ht="15">
      <c r="A3" s="1654" t="s">
        <v>655</v>
      </c>
      <c r="B3" s="1654"/>
      <c r="C3" s="1654"/>
      <c r="D3" s="1654"/>
      <c r="E3" s="1654"/>
      <c r="F3" s="1654"/>
      <c r="G3" s="1654"/>
      <c r="H3" s="906"/>
      <c r="I3" s="906"/>
      <c r="J3" s="906"/>
    </row>
    <row r="4" spans="1:12" ht="15">
      <c r="A4" s="1661" t="str">
        <f>TCOS!F9</f>
        <v>Ohio Power Company</v>
      </c>
      <c r="B4" s="1661"/>
      <c r="C4" s="1661"/>
      <c r="D4" s="1661"/>
      <c r="E4" s="1661"/>
      <c r="F4" s="1661"/>
      <c r="G4" s="1661"/>
      <c r="H4" s="906"/>
      <c r="I4" s="906"/>
      <c r="J4" s="906"/>
    </row>
    <row r="5" spans="1:12">
      <c r="A5" s="906"/>
      <c r="B5" s="950"/>
      <c r="C5" s="950"/>
      <c r="D5" s="950"/>
      <c r="E5" s="953"/>
      <c r="F5" s="952"/>
      <c r="H5" s="952"/>
      <c r="J5" s="952"/>
      <c r="L5" s="952"/>
    </row>
    <row r="6" spans="1:12" ht="12.75" customHeight="1">
      <c r="A6" s="906"/>
      <c r="B6" s="950"/>
      <c r="C6" s="1655" t="s">
        <v>654</v>
      </c>
      <c r="D6" s="1656"/>
      <c r="E6" s="1656"/>
      <c r="F6" s="1656"/>
      <c r="G6" s="1656"/>
      <c r="H6" s="1656"/>
      <c r="I6" s="1656"/>
      <c r="J6" s="1656"/>
      <c r="K6" s="1657"/>
      <c r="L6" s="6"/>
    </row>
    <row r="7" spans="1:12" s="947" customFormat="1" ht="25.5">
      <c r="A7" s="949" t="s">
        <v>644</v>
      </c>
      <c r="B7" s="948" t="s">
        <v>643</v>
      </c>
      <c r="C7" s="928" t="s">
        <v>229</v>
      </c>
      <c r="D7" s="928" t="s">
        <v>652</v>
      </c>
      <c r="E7" s="928" t="s">
        <v>115</v>
      </c>
      <c r="F7" s="928" t="s">
        <v>651</v>
      </c>
      <c r="G7" s="928" t="s">
        <v>438</v>
      </c>
      <c r="H7" s="928" t="s">
        <v>650</v>
      </c>
      <c r="I7" s="928" t="s">
        <v>334</v>
      </c>
      <c r="J7" s="928" t="s">
        <v>649</v>
      </c>
      <c r="K7" s="927" t="s">
        <v>648</v>
      </c>
      <c r="L7" s="6"/>
    </row>
    <row r="8" spans="1:12" s="920" customFormat="1">
      <c r="A8" s="917"/>
      <c r="B8" s="925" t="s">
        <v>638</v>
      </c>
      <c r="C8" s="924" t="s">
        <v>637</v>
      </c>
      <c r="D8" s="924" t="s">
        <v>636</v>
      </c>
      <c r="E8" s="924" t="s">
        <v>635</v>
      </c>
      <c r="F8" s="924" t="s">
        <v>634</v>
      </c>
      <c r="G8" s="924" t="s">
        <v>656</v>
      </c>
      <c r="H8" s="924" t="s">
        <v>657</v>
      </c>
      <c r="I8" s="924" t="s">
        <v>647</v>
      </c>
      <c r="J8" s="924" t="s">
        <v>646</v>
      </c>
      <c r="K8" s="946" t="s">
        <v>645</v>
      </c>
      <c r="L8" s="6"/>
    </row>
    <row r="9" spans="1:12" s="920" customFormat="1" ht="44.25" customHeight="1">
      <c r="A9" s="917"/>
      <c r="B9" s="925" t="s">
        <v>633</v>
      </c>
      <c r="C9" s="945" t="s">
        <v>442</v>
      </c>
      <c r="D9" s="945" t="s">
        <v>447</v>
      </c>
      <c r="E9" s="945" t="s">
        <v>443</v>
      </c>
      <c r="F9" s="945" t="s">
        <v>658</v>
      </c>
      <c r="G9" s="945" t="s">
        <v>444</v>
      </c>
      <c r="H9" s="945" t="s">
        <v>445</v>
      </c>
      <c r="I9" s="945" t="s">
        <v>659</v>
      </c>
      <c r="J9" s="945" t="s">
        <v>660</v>
      </c>
      <c r="K9" s="944" t="s">
        <v>446</v>
      </c>
      <c r="L9" s="6"/>
    </row>
    <row r="10" spans="1:12">
      <c r="A10" s="917">
        <v>1</v>
      </c>
      <c r="B10" s="943" t="s">
        <v>631</v>
      </c>
      <c r="C10" s="912">
        <v>0</v>
      </c>
      <c r="D10" s="912">
        <v>0</v>
      </c>
      <c r="E10" s="912">
        <v>2829331358.8700004</v>
      </c>
      <c r="F10" s="912">
        <v>3119.85</v>
      </c>
      <c r="G10" s="912">
        <v>5706016684.9300003</v>
      </c>
      <c r="H10" s="912">
        <v>0</v>
      </c>
      <c r="I10" s="912">
        <v>649302037.26000011</v>
      </c>
      <c r="J10" s="912">
        <v>771672.19</v>
      </c>
      <c r="K10" s="912">
        <v>210327269.45999998</v>
      </c>
      <c r="L10" s="6"/>
    </row>
    <row r="11" spans="1:12">
      <c r="A11" s="917">
        <f>+A10+1</f>
        <v>2</v>
      </c>
      <c r="B11" s="943" t="s">
        <v>185</v>
      </c>
      <c r="C11" s="912">
        <v>0</v>
      </c>
      <c r="D11" s="912">
        <v>0</v>
      </c>
      <c r="E11" s="912">
        <v>2832774293.79</v>
      </c>
      <c r="F11" s="912">
        <v>3119.85</v>
      </c>
      <c r="G11" s="912">
        <v>5743984006.0500002</v>
      </c>
      <c r="H11" s="912">
        <v>0</v>
      </c>
      <c r="I11" s="912">
        <v>652056927.03999996</v>
      </c>
      <c r="J11" s="912">
        <v>771672.19</v>
      </c>
      <c r="K11" s="912">
        <v>217427836.97</v>
      </c>
      <c r="L11" s="6"/>
    </row>
    <row r="12" spans="1:12">
      <c r="A12" s="917">
        <f t="shared" ref="A12:A23" si="0">+A11+1</f>
        <v>3</v>
      </c>
      <c r="B12" s="942" t="s">
        <v>559</v>
      </c>
      <c r="C12" s="912">
        <v>0</v>
      </c>
      <c r="D12" s="912">
        <v>0</v>
      </c>
      <c r="E12" s="912">
        <v>2846291837.04</v>
      </c>
      <c r="F12" s="912">
        <v>3119.85</v>
      </c>
      <c r="G12" s="912">
        <v>5772649600.4799995</v>
      </c>
      <c r="H12" s="912">
        <v>0</v>
      </c>
      <c r="I12" s="912">
        <v>653641323.91999996</v>
      </c>
      <c r="J12" s="912">
        <v>771672.19</v>
      </c>
      <c r="K12" s="912">
        <v>219980079.34999999</v>
      </c>
      <c r="L12" s="6"/>
    </row>
    <row r="13" spans="1:12">
      <c r="A13" s="917">
        <f t="shared" si="0"/>
        <v>4</v>
      </c>
      <c r="B13" s="942" t="s">
        <v>630</v>
      </c>
      <c r="C13" s="912">
        <v>0</v>
      </c>
      <c r="D13" s="912">
        <v>0</v>
      </c>
      <c r="E13" s="912">
        <v>2860189089.0599999</v>
      </c>
      <c r="F13" s="912">
        <v>3119.85</v>
      </c>
      <c r="G13" s="912">
        <v>5804068518.3100004</v>
      </c>
      <c r="H13" s="912">
        <v>0</v>
      </c>
      <c r="I13" s="912">
        <v>678327121.13</v>
      </c>
      <c r="J13" s="912">
        <v>771672.19</v>
      </c>
      <c r="K13" s="912">
        <v>220914198</v>
      </c>
      <c r="L13" s="6"/>
    </row>
    <row r="14" spans="1:12">
      <c r="A14" s="917">
        <f t="shared" si="0"/>
        <v>5</v>
      </c>
      <c r="B14" s="942" t="s">
        <v>187</v>
      </c>
      <c r="C14" s="912">
        <v>0</v>
      </c>
      <c r="D14" s="912">
        <v>0</v>
      </c>
      <c r="E14" s="912">
        <v>2881432749.4099998</v>
      </c>
      <c r="F14" s="912">
        <v>3119.85</v>
      </c>
      <c r="G14" s="912">
        <v>5834585836.6099997</v>
      </c>
      <c r="H14" s="912">
        <v>0</v>
      </c>
      <c r="I14" s="912">
        <v>682778760.12</v>
      </c>
      <c r="J14" s="912">
        <v>771672.19</v>
      </c>
      <c r="K14" s="912">
        <v>223271812.02000001</v>
      </c>
      <c r="L14" s="6"/>
    </row>
    <row r="15" spans="1:12">
      <c r="A15" s="917">
        <f t="shared" si="0"/>
        <v>6</v>
      </c>
      <c r="B15" s="942" t="s">
        <v>188</v>
      </c>
      <c r="C15" s="912">
        <v>0</v>
      </c>
      <c r="D15" s="912">
        <v>0</v>
      </c>
      <c r="E15" s="912">
        <v>2883842269.9000001</v>
      </c>
      <c r="F15" s="912">
        <v>3119.85</v>
      </c>
      <c r="G15" s="912">
        <v>5856152712.7600002</v>
      </c>
      <c r="H15" s="912">
        <v>0</v>
      </c>
      <c r="I15" s="912">
        <v>689090189.72000003</v>
      </c>
      <c r="J15" s="912">
        <v>771672.19</v>
      </c>
      <c r="K15" s="912">
        <v>228144390.16</v>
      </c>
      <c r="L15" s="6"/>
    </row>
    <row r="16" spans="1:12">
      <c r="A16" s="917">
        <f t="shared" si="0"/>
        <v>7</v>
      </c>
      <c r="B16" s="942" t="s">
        <v>382</v>
      </c>
      <c r="C16" s="912">
        <v>0</v>
      </c>
      <c r="D16" s="912">
        <v>0</v>
      </c>
      <c r="E16" s="912">
        <v>2898979861.1399999</v>
      </c>
      <c r="F16" s="912">
        <v>3119.85</v>
      </c>
      <c r="G16" s="912">
        <v>5887528213.9200001</v>
      </c>
      <c r="H16" s="912">
        <v>0</v>
      </c>
      <c r="I16" s="912">
        <v>697690274.95000005</v>
      </c>
      <c r="J16" s="912">
        <v>622869.22</v>
      </c>
      <c r="K16" s="912">
        <v>223319370.97999999</v>
      </c>
      <c r="L16" s="6"/>
    </row>
    <row r="17" spans="1:12">
      <c r="A17" s="917">
        <f t="shared" si="0"/>
        <v>8</v>
      </c>
      <c r="B17" s="942" t="s">
        <v>189</v>
      </c>
      <c r="C17" s="912">
        <v>0</v>
      </c>
      <c r="D17" s="912">
        <v>0</v>
      </c>
      <c r="E17" s="912">
        <v>2909568910.0700002</v>
      </c>
      <c r="F17" s="912">
        <v>3119.85</v>
      </c>
      <c r="G17" s="912">
        <v>5920636182.5100002</v>
      </c>
      <c r="H17" s="912">
        <v>0</v>
      </c>
      <c r="I17" s="912">
        <v>703310739</v>
      </c>
      <c r="J17" s="912">
        <v>622869.22</v>
      </c>
      <c r="K17" s="912">
        <v>234686991.25</v>
      </c>
      <c r="L17" s="6"/>
    </row>
    <row r="18" spans="1:12">
      <c r="A18" s="917">
        <f t="shared" si="0"/>
        <v>9</v>
      </c>
      <c r="B18" s="942" t="s">
        <v>629</v>
      </c>
      <c r="C18" s="912">
        <v>0</v>
      </c>
      <c r="D18" s="912">
        <v>0</v>
      </c>
      <c r="E18" s="912">
        <v>2917789078.3299999</v>
      </c>
      <c r="F18" s="912">
        <v>3119.85</v>
      </c>
      <c r="G18" s="912">
        <v>5951452804.8400002</v>
      </c>
      <c r="H18" s="912">
        <v>0</v>
      </c>
      <c r="I18" s="912">
        <v>704154023.44000006</v>
      </c>
      <c r="J18" s="912">
        <v>622869.22</v>
      </c>
      <c r="K18" s="912">
        <v>237380627.22</v>
      </c>
      <c r="L18" s="6"/>
    </row>
    <row r="19" spans="1:12">
      <c r="A19" s="917">
        <f t="shared" si="0"/>
        <v>10</v>
      </c>
      <c r="B19" s="942" t="s">
        <v>192</v>
      </c>
      <c r="C19" s="912">
        <v>0</v>
      </c>
      <c r="D19" s="912">
        <v>0</v>
      </c>
      <c r="E19" s="912">
        <v>2933804932.3899999</v>
      </c>
      <c r="F19" s="912">
        <v>3119.85</v>
      </c>
      <c r="G19" s="912">
        <v>5986974103.7399998</v>
      </c>
      <c r="H19" s="912">
        <v>0</v>
      </c>
      <c r="I19" s="912">
        <v>705619923.47000003</v>
      </c>
      <c r="J19" s="912">
        <v>622869.22</v>
      </c>
      <c r="K19" s="912">
        <v>235839655.63</v>
      </c>
      <c r="L19" s="6"/>
    </row>
    <row r="20" spans="1:12">
      <c r="A20" s="917">
        <f t="shared" si="0"/>
        <v>11</v>
      </c>
      <c r="B20" s="942" t="s">
        <v>560</v>
      </c>
      <c r="C20" s="912">
        <v>0</v>
      </c>
      <c r="D20" s="912">
        <v>0</v>
      </c>
      <c r="E20" s="912">
        <v>2945877942.1100001</v>
      </c>
      <c r="F20" s="912">
        <v>3119.85</v>
      </c>
      <c r="G20" s="912">
        <v>6011431526.9399996</v>
      </c>
      <c r="H20" s="912">
        <v>0</v>
      </c>
      <c r="I20" s="912">
        <v>705897643.71000004</v>
      </c>
      <c r="J20" s="912">
        <v>622869.22</v>
      </c>
      <c r="K20" s="912">
        <v>238773842.91999999</v>
      </c>
      <c r="L20" s="6"/>
    </row>
    <row r="21" spans="1:12">
      <c r="A21" s="917">
        <f t="shared" si="0"/>
        <v>12</v>
      </c>
      <c r="B21" s="942" t="s">
        <v>561</v>
      </c>
      <c r="C21" s="912">
        <v>0</v>
      </c>
      <c r="D21" s="912">
        <v>0</v>
      </c>
      <c r="E21" s="912">
        <v>2966605883.8800001</v>
      </c>
      <c r="F21" s="912">
        <v>3119.85</v>
      </c>
      <c r="G21" s="912">
        <v>6032732524.8999996</v>
      </c>
      <c r="H21" s="912">
        <v>0</v>
      </c>
      <c r="I21" s="912">
        <v>706734325.62</v>
      </c>
      <c r="J21" s="912">
        <v>622869.22</v>
      </c>
      <c r="K21" s="912">
        <v>241664652.86000001</v>
      </c>
      <c r="L21" s="6"/>
    </row>
    <row r="22" spans="1:12">
      <c r="A22" s="915">
        <f t="shared" si="0"/>
        <v>13</v>
      </c>
      <c r="B22" s="941" t="s">
        <v>628</v>
      </c>
      <c r="C22" s="912">
        <v>0</v>
      </c>
      <c r="D22" s="912">
        <v>0</v>
      </c>
      <c r="E22" s="912">
        <v>2990243792</v>
      </c>
      <c r="F22" s="912">
        <v>3119.85</v>
      </c>
      <c r="G22" s="912">
        <v>6068306961</v>
      </c>
      <c r="H22" s="912">
        <v>0</v>
      </c>
      <c r="I22" s="912">
        <v>711056205.68000007</v>
      </c>
      <c r="J22" s="912">
        <v>622869.22</v>
      </c>
      <c r="K22" s="912">
        <v>243420869.51000002</v>
      </c>
      <c r="L22" s="6"/>
    </row>
    <row r="23" spans="1:12" ht="13.5" thickBot="1">
      <c r="A23" s="1181">
        <f t="shared" si="0"/>
        <v>14</v>
      </c>
      <c r="B23" s="1182" t="s">
        <v>858</v>
      </c>
      <c r="C23" s="938">
        <f>SUM(C10:C22)/13</f>
        <v>0</v>
      </c>
      <c r="D23" s="938">
        <f t="shared" ref="D23:K23" si="1">SUM(D10:D22)/13</f>
        <v>0</v>
      </c>
      <c r="E23" s="938">
        <f t="shared" si="1"/>
        <v>2899748615.23</v>
      </c>
      <c r="F23" s="938">
        <f t="shared" si="1"/>
        <v>3119.849999999999</v>
      </c>
      <c r="G23" s="938">
        <f t="shared" si="1"/>
        <v>5890501513.6146154</v>
      </c>
      <c r="H23" s="938">
        <f t="shared" si="1"/>
        <v>0</v>
      </c>
      <c r="I23" s="938">
        <f t="shared" si="1"/>
        <v>687666115.00461531</v>
      </c>
      <c r="J23" s="938">
        <f t="shared" si="1"/>
        <v>691547.51384615363</v>
      </c>
      <c r="K23" s="937">
        <f t="shared" si="1"/>
        <v>228857815.10230774</v>
      </c>
      <c r="L23" s="6"/>
    </row>
    <row r="24" spans="1:12" ht="13.5" thickTop="1">
      <c r="A24" s="906"/>
      <c r="B24" s="905"/>
      <c r="C24" s="936"/>
      <c r="D24" s="903"/>
      <c r="E24" s="903"/>
      <c r="F24" s="903"/>
      <c r="G24" s="936"/>
      <c r="H24" s="936"/>
      <c r="I24" s="936"/>
      <c r="J24" s="951"/>
      <c r="K24" s="951"/>
      <c r="L24" s="6"/>
    </row>
    <row r="25" spans="1:12" ht="12.75" customHeight="1">
      <c r="A25" s="906"/>
      <c r="B25" s="950"/>
      <c r="C25" s="1658" t="s">
        <v>653</v>
      </c>
      <c r="D25" s="1659"/>
      <c r="E25" s="1659"/>
      <c r="F25" s="1659"/>
      <c r="G25" s="1659"/>
      <c r="H25" s="1659"/>
      <c r="I25" s="1659"/>
      <c r="J25" s="1659"/>
      <c r="K25" s="1660"/>
      <c r="L25" s="6"/>
    </row>
    <row r="26" spans="1:12" s="947" customFormat="1" ht="25.5">
      <c r="A26" s="949" t="s">
        <v>644</v>
      </c>
      <c r="B26" s="948" t="s">
        <v>643</v>
      </c>
      <c r="C26" s="928" t="s">
        <v>229</v>
      </c>
      <c r="D26" s="928" t="s">
        <v>652</v>
      </c>
      <c r="E26" s="928" t="s">
        <v>115</v>
      </c>
      <c r="F26" s="928" t="s">
        <v>651</v>
      </c>
      <c r="G26" s="928" t="s">
        <v>438</v>
      </c>
      <c r="H26" s="928" t="s">
        <v>650</v>
      </c>
      <c r="I26" s="928" t="s">
        <v>334</v>
      </c>
      <c r="J26" s="928" t="s">
        <v>649</v>
      </c>
      <c r="K26" s="927" t="s">
        <v>648</v>
      </c>
      <c r="L26" s="6"/>
    </row>
    <row r="27" spans="1:12" s="920" customFormat="1">
      <c r="A27" s="917"/>
      <c r="B27" s="925" t="s">
        <v>638</v>
      </c>
      <c r="C27" s="924" t="s">
        <v>637</v>
      </c>
      <c r="D27" s="924" t="s">
        <v>636</v>
      </c>
      <c r="E27" s="924" t="s">
        <v>635</v>
      </c>
      <c r="F27" s="924" t="s">
        <v>634</v>
      </c>
      <c r="G27" s="924" t="s">
        <v>656</v>
      </c>
      <c r="H27" s="924" t="s">
        <v>657</v>
      </c>
      <c r="I27" s="924" t="s">
        <v>647</v>
      </c>
      <c r="J27" s="924" t="s">
        <v>646</v>
      </c>
      <c r="K27" s="946" t="s">
        <v>645</v>
      </c>
      <c r="L27" s="6"/>
    </row>
    <row r="28" spans="1:12" s="920" customFormat="1" ht="44.25" customHeight="1">
      <c r="A28" s="917"/>
      <c r="B28" s="925" t="s">
        <v>633</v>
      </c>
      <c r="C28" s="945" t="s">
        <v>379</v>
      </c>
      <c r="D28" s="945" t="s">
        <v>661</v>
      </c>
      <c r="E28" s="945" t="s">
        <v>380</v>
      </c>
      <c r="F28" s="945" t="s">
        <v>662</v>
      </c>
      <c r="G28" s="945" t="s">
        <v>507</v>
      </c>
      <c r="H28" s="945" t="s">
        <v>663</v>
      </c>
      <c r="I28" s="945" t="s">
        <v>481</v>
      </c>
      <c r="J28" s="945" t="s">
        <v>664</v>
      </c>
      <c r="K28" s="944" t="s">
        <v>508</v>
      </c>
      <c r="L28" s="6"/>
    </row>
    <row r="29" spans="1:12">
      <c r="A29" s="917">
        <f>+A23+1</f>
        <v>15</v>
      </c>
      <c r="B29" s="943" t="s">
        <v>631</v>
      </c>
      <c r="C29" s="912">
        <v>0</v>
      </c>
      <c r="D29" s="912">
        <v>0</v>
      </c>
      <c r="E29" s="912">
        <v>880336863.63</v>
      </c>
      <c r="F29" s="912">
        <v>3119.85</v>
      </c>
      <c r="G29" s="912">
        <v>1710961711.3799994</v>
      </c>
      <c r="H29" s="912">
        <v>0</v>
      </c>
      <c r="I29" s="912">
        <v>110763527.85000001</v>
      </c>
      <c r="J29" s="912">
        <v>351399.62</v>
      </c>
      <c r="K29" s="912">
        <v>95088685.719999999</v>
      </c>
      <c r="L29" s="6"/>
    </row>
    <row r="30" spans="1:12">
      <c r="A30" s="917">
        <f>+A29+1</f>
        <v>16</v>
      </c>
      <c r="B30" s="943" t="s">
        <v>185</v>
      </c>
      <c r="C30" s="912">
        <v>0</v>
      </c>
      <c r="D30" s="912">
        <v>0</v>
      </c>
      <c r="E30" s="912">
        <v>882171566.28999996</v>
      </c>
      <c r="F30" s="912">
        <v>3119.85</v>
      </c>
      <c r="G30" s="912">
        <v>1717258238.8900001</v>
      </c>
      <c r="H30" s="912">
        <v>0</v>
      </c>
      <c r="I30" s="912">
        <v>111567983.99000001</v>
      </c>
      <c r="J30" s="912">
        <v>354306.3</v>
      </c>
      <c r="K30" s="912">
        <v>98001259.909999996</v>
      </c>
      <c r="L30" s="6"/>
    </row>
    <row r="31" spans="1:12">
      <c r="A31" s="917">
        <f t="shared" ref="A31:A42" si="2">+A30+1</f>
        <v>17</v>
      </c>
      <c r="B31" s="942" t="s">
        <v>559</v>
      </c>
      <c r="C31" s="912">
        <v>0</v>
      </c>
      <c r="D31" s="912">
        <v>0</v>
      </c>
      <c r="E31" s="912">
        <v>885153076.40999997</v>
      </c>
      <c r="F31" s="912">
        <v>3119.85</v>
      </c>
      <c r="G31" s="912">
        <v>1726174273.73</v>
      </c>
      <c r="H31" s="912">
        <v>0</v>
      </c>
      <c r="I31" s="912">
        <v>112599842.21000001</v>
      </c>
      <c r="J31" s="912">
        <v>357212.97</v>
      </c>
      <c r="K31" s="912">
        <v>101032176.78000002</v>
      </c>
      <c r="L31" s="6"/>
    </row>
    <row r="32" spans="1:12">
      <c r="A32" s="917">
        <f t="shared" si="2"/>
        <v>18</v>
      </c>
      <c r="B32" s="942" t="s">
        <v>630</v>
      </c>
      <c r="C32" s="912">
        <v>0</v>
      </c>
      <c r="D32" s="912">
        <v>0</v>
      </c>
      <c r="E32" s="912">
        <v>886686465.98000002</v>
      </c>
      <c r="F32" s="912">
        <v>3119.85</v>
      </c>
      <c r="G32" s="912">
        <v>1734476741.9000001</v>
      </c>
      <c r="H32" s="912">
        <v>0</v>
      </c>
      <c r="I32" s="912">
        <v>112893573.13999997</v>
      </c>
      <c r="J32" s="912">
        <v>360119.51999999996</v>
      </c>
      <c r="K32" s="912">
        <v>100774452.77</v>
      </c>
      <c r="L32" s="6"/>
    </row>
    <row r="33" spans="1:12">
      <c r="A33" s="917">
        <f t="shared" si="2"/>
        <v>19</v>
      </c>
      <c r="B33" s="942" t="s">
        <v>187</v>
      </c>
      <c r="C33" s="912">
        <v>0</v>
      </c>
      <c r="D33" s="912">
        <v>0</v>
      </c>
      <c r="E33" s="912">
        <v>888081132.39999998</v>
      </c>
      <c r="F33" s="912">
        <v>3119.85</v>
      </c>
      <c r="G33" s="912">
        <v>1743052225.7</v>
      </c>
      <c r="H33" s="912">
        <v>0</v>
      </c>
      <c r="I33" s="912">
        <v>113663037.47999997</v>
      </c>
      <c r="J33" s="912">
        <v>363026.17</v>
      </c>
      <c r="K33" s="912">
        <v>103919708.75000001</v>
      </c>
      <c r="L33" s="6"/>
    </row>
    <row r="34" spans="1:12">
      <c r="A34" s="917">
        <f t="shared" si="2"/>
        <v>20</v>
      </c>
      <c r="B34" s="942" t="s">
        <v>188</v>
      </c>
      <c r="C34" s="912">
        <v>0</v>
      </c>
      <c r="D34" s="912">
        <v>0</v>
      </c>
      <c r="E34" s="912">
        <v>885576569.75</v>
      </c>
      <c r="F34" s="912">
        <v>3119.85</v>
      </c>
      <c r="G34" s="912">
        <v>1750638713.5999999</v>
      </c>
      <c r="H34" s="912">
        <v>0</v>
      </c>
      <c r="I34" s="912">
        <v>114563296.13999999</v>
      </c>
      <c r="J34" s="912">
        <v>365932.73</v>
      </c>
      <c r="K34" s="912">
        <v>107094000.74999999</v>
      </c>
      <c r="L34" s="6"/>
    </row>
    <row r="35" spans="1:12">
      <c r="A35" s="917">
        <f t="shared" si="2"/>
        <v>21</v>
      </c>
      <c r="B35" s="942" t="s">
        <v>382</v>
      </c>
      <c r="C35" s="912">
        <v>0</v>
      </c>
      <c r="D35" s="912">
        <v>0</v>
      </c>
      <c r="E35" s="912">
        <v>888180617.52999997</v>
      </c>
      <c r="F35" s="912">
        <v>3119.85</v>
      </c>
      <c r="G35" s="912">
        <v>1756467279.03</v>
      </c>
      <c r="H35" s="912">
        <v>0</v>
      </c>
      <c r="I35" s="912">
        <v>115272926</v>
      </c>
      <c r="J35" s="912">
        <v>319512.28999999998</v>
      </c>
      <c r="K35" s="912">
        <v>108212373</v>
      </c>
      <c r="L35" s="6"/>
    </row>
    <row r="36" spans="1:12">
      <c r="A36" s="917">
        <f t="shared" si="2"/>
        <v>22</v>
      </c>
      <c r="B36" s="942" t="s">
        <v>189</v>
      </c>
      <c r="C36" s="912">
        <v>0</v>
      </c>
      <c r="D36" s="912">
        <v>0</v>
      </c>
      <c r="E36" s="912">
        <v>887350213</v>
      </c>
      <c r="F36" s="912">
        <v>3119.85</v>
      </c>
      <c r="G36" s="912">
        <v>1757957136.9400001</v>
      </c>
      <c r="H36" s="912">
        <v>0</v>
      </c>
      <c r="I36" s="912">
        <v>116677507.64999999</v>
      </c>
      <c r="J36" s="912">
        <v>321596.75999999995</v>
      </c>
      <c r="K36" s="912">
        <v>111485651.42999999</v>
      </c>
      <c r="L36" s="6"/>
    </row>
    <row r="37" spans="1:12">
      <c r="A37" s="917">
        <f t="shared" si="2"/>
        <v>23</v>
      </c>
      <c r="B37" s="942" t="s">
        <v>629</v>
      </c>
      <c r="C37" s="912">
        <v>0</v>
      </c>
      <c r="D37" s="912">
        <v>0</v>
      </c>
      <c r="E37" s="912">
        <v>887807462.78999996</v>
      </c>
      <c r="F37" s="912">
        <v>3119.85</v>
      </c>
      <c r="G37" s="912">
        <v>1763395047.98</v>
      </c>
      <c r="H37" s="912">
        <v>0</v>
      </c>
      <c r="I37" s="912">
        <v>117636123.76999998</v>
      </c>
      <c r="J37" s="912">
        <v>323681.18</v>
      </c>
      <c r="K37" s="912">
        <v>114941615.97000001</v>
      </c>
      <c r="L37" s="6"/>
    </row>
    <row r="38" spans="1:12">
      <c r="A38" s="917">
        <f t="shared" si="2"/>
        <v>24</v>
      </c>
      <c r="B38" s="942" t="s">
        <v>192</v>
      </c>
      <c r="C38" s="912">
        <v>0</v>
      </c>
      <c r="D38" s="912">
        <v>0</v>
      </c>
      <c r="E38" s="912">
        <v>892378168.31999993</v>
      </c>
      <c r="F38" s="912">
        <v>3119.85</v>
      </c>
      <c r="G38" s="912">
        <v>1766337032.0199997</v>
      </c>
      <c r="H38" s="912">
        <v>0</v>
      </c>
      <c r="I38" s="912">
        <v>118610470.77000003</v>
      </c>
      <c r="J38" s="912">
        <v>325765.71999999997</v>
      </c>
      <c r="K38" s="912">
        <v>114520412.85999998</v>
      </c>
      <c r="L38" s="6"/>
    </row>
    <row r="39" spans="1:12">
      <c r="A39" s="917">
        <f t="shared" si="2"/>
        <v>25</v>
      </c>
      <c r="B39" s="942" t="s">
        <v>560</v>
      </c>
      <c r="C39" s="912">
        <v>0</v>
      </c>
      <c r="D39" s="912">
        <v>0</v>
      </c>
      <c r="E39" s="912">
        <v>894412787.49000001</v>
      </c>
      <c r="F39" s="912">
        <v>3119.85</v>
      </c>
      <c r="G39" s="912">
        <v>1769262609.54</v>
      </c>
      <c r="H39" s="912">
        <v>0</v>
      </c>
      <c r="I39" s="912">
        <v>118250566.03000008</v>
      </c>
      <c r="J39" s="912">
        <v>327850.19</v>
      </c>
      <c r="K39" s="912">
        <v>119045330.64000002</v>
      </c>
      <c r="L39" s="6"/>
    </row>
    <row r="40" spans="1:12">
      <c r="A40" s="917">
        <f t="shared" si="2"/>
        <v>26</v>
      </c>
      <c r="B40" s="942" t="s">
        <v>561</v>
      </c>
      <c r="C40" s="912">
        <v>0</v>
      </c>
      <c r="D40" s="912">
        <v>0</v>
      </c>
      <c r="E40" s="912">
        <v>895748343.89999998</v>
      </c>
      <c r="F40" s="912">
        <v>3119.85</v>
      </c>
      <c r="G40" s="912">
        <v>1774670070.04</v>
      </c>
      <c r="H40" s="912">
        <v>0</v>
      </c>
      <c r="I40" s="912">
        <v>118414682.97</v>
      </c>
      <c r="J40" s="912">
        <v>329934.75</v>
      </c>
      <c r="K40" s="912">
        <v>122640590.89000002</v>
      </c>
      <c r="L40" s="6"/>
    </row>
    <row r="41" spans="1:12">
      <c r="A41" s="915">
        <f t="shared" si="2"/>
        <v>27</v>
      </c>
      <c r="B41" s="941" t="s">
        <v>628</v>
      </c>
      <c r="C41" s="912">
        <v>0</v>
      </c>
      <c r="D41" s="912">
        <v>0</v>
      </c>
      <c r="E41" s="912">
        <v>895366918.83999991</v>
      </c>
      <c r="F41" s="912">
        <v>3119.85</v>
      </c>
      <c r="G41" s="912">
        <v>1778399304.1600003</v>
      </c>
      <c r="H41" s="912">
        <v>0</v>
      </c>
      <c r="I41" s="912">
        <v>119587847.34999998</v>
      </c>
      <c r="J41" s="912">
        <v>332019.17</v>
      </c>
      <c r="K41" s="912">
        <v>119424312.78000002</v>
      </c>
      <c r="L41" s="6"/>
    </row>
    <row r="42" spans="1:12" ht="13.5" thickBot="1">
      <c r="A42" s="940">
        <f t="shared" si="2"/>
        <v>28</v>
      </c>
      <c r="B42" s="1182" t="s">
        <v>858</v>
      </c>
      <c r="C42" s="938">
        <f>SUM(C29:C41)/13</f>
        <v>0</v>
      </c>
      <c r="D42" s="938">
        <f t="shared" ref="D42:K42" si="3">SUM(D29:D41)/13</f>
        <v>0</v>
      </c>
      <c r="E42" s="938">
        <f t="shared" si="3"/>
        <v>888403860.4869231</v>
      </c>
      <c r="F42" s="938">
        <f t="shared" si="3"/>
        <v>3119.849999999999</v>
      </c>
      <c r="G42" s="938">
        <f t="shared" si="3"/>
        <v>1749926952.685385</v>
      </c>
      <c r="H42" s="938">
        <f t="shared" si="3"/>
        <v>0</v>
      </c>
      <c r="I42" s="938">
        <f t="shared" si="3"/>
        <v>115423183.48846152</v>
      </c>
      <c r="J42" s="938">
        <f t="shared" si="3"/>
        <v>340950.56692307693</v>
      </c>
      <c r="K42" s="937">
        <f t="shared" si="3"/>
        <v>108936967.09615384</v>
      </c>
      <c r="L42" s="6"/>
    </row>
    <row r="43" spans="1:12" ht="13.5" thickTop="1">
      <c r="A43" s="906"/>
      <c r="B43" s="905"/>
      <c r="C43" s="936"/>
      <c r="D43" s="903"/>
      <c r="E43" s="903"/>
      <c r="F43" s="903"/>
      <c r="G43" s="936"/>
      <c r="H43"/>
      <c r="I43"/>
      <c r="J43"/>
      <c r="K43"/>
      <c r="L43" s="6"/>
    </row>
    <row r="44" spans="1:12">
      <c r="A44" s="906"/>
      <c r="B44" s="905"/>
      <c r="C44" s="936"/>
      <c r="D44" s="903"/>
      <c r="E44" s="903"/>
      <c r="F44" s="903"/>
      <c r="G44" s="936"/>
      <c r="H44" s="936"/>
      <c r="I44" s="936"/>
    </row>
    <row r="45" spans="1:12">
      <c r="A45" s="935"/>
      <c r="B45" s="934"/>
      <c r="C45" s="933"/>
      <c r="D45" s="932"/>
      <c r="E45" s="932"/>
      <c r="F45" s="931"/>
      <c r="G45"/>
      <c r="H45"/>
      <c r="I45"/>
      <c r="J45"/>
      <c r="K45"/>
      <c r="L45" s="6"/>
    </row>
    <row r="46" spans="1:12" ht="72" customHeight="1">
      <c r="A46" s="930" t="s">
        <v>644</v>
      </c>
      <c r="B46" s="924" t="s">
        <v>643</v>
      </c>
      <c r="C46" s="929" t="s">
        <v>642</v>
      </c>
      <c r="D46" s="928" t="s">
        <v>641</v>
      </c>
      <c r="E46" s="928" t="s">
        <v>640</v>
      </c>
      <c r="F46" s="927" t="s">
        <v>639</v>
      </c>
      <c r="G46"/>
      <c r="H46"/>
      <c r="I46"/>
      <c r="J46"/>
      <c r="K46"/>
      <c r="L46" s="6"/>
    </row>
    <row r="47" spans="1:12" s="920" customFormat="1">
      <c r="A47" s="917"/>
      <c r="B47" s="924" t="s">
        <v>638</v>
      </c>
      <c r="C47" s="926" t="s">
        <v>637</v>
      </c>
      <c r="D47" s="924" t="s">
        <v>636</v>
      </c>
      <c r="E47" s="924" t="s">
        <v>635</v>
      </c>
      <c r="F47" s="925" t="s">
        <v>634</v>
      </c>
      <c r="G47"/>
      <c r="H47"/>
      <c r="I47"/>
      <c r="J47"/>
      <c r="K47"/>
      <c r="L47" s="6"/>
    </row>
    <row r="48" spans="1:12" s="920" customFormat="1" ht="63.75">
      <c r="A48" s="917"/>
      <c r="B48" s="924" t="s">
        <v>633</v>
      </c>
      <c r="C48" s="923" t="s">
        <v>665</v>
      </c>
      <c r="D48" s="923" t="s">
        <v>666</v>
      </c>
      <c r="E48" s="922" t="s">
        <v>632</v>
      </c>
      <c r="F48" s="921" t="s">
        <v>632</v>
      </c>
      <c r="G48"/>
      <c r="H48"/>
      <c r="I48"/>
      <c r="J48"/>
      <c r="K48"/>
      <c r="L48" s="6"/>
    </row>
    <row r="49" spans="1:12">
      <c r="A49" s="917">
        <f>+A42+1</f>
        <v>29</v>
      </c>
      <c r="B49" s="918" t="s">
        <v>631</v>
      </c>
      <c r="C49" s="919">
        <v>0</v>
      </c>
      <c r="D49" s="912">
        <v>0</v>
      </c>
      <c r="E49" s="912">
        <v>0</v>
      </c>
      <c r="F49" s="911">
        <v>0</v>
      </c>
      <c r="G49"/>
      <c r="H49"/>
      <c r="I49"/>
      <c r="J49"/>
      <c r="K49"/>
      <c r="L49" s="6"/>
    </row>
    <row r="50" spans="1:12">
      <c r="A50" s="917">
        <f>+A49+1</f>
        <v>30</v>
      </c>
      <c r="B50" s="918" t="s">
        <v>185</v>
      </c>
      <c r="C50" s="913">
        <v>0</v>
      </c>
      <c r="D50" s="912">
        <v>0</v>
      </c>
      <c r="E50" s="912">
        <v>0</v>
      </c>
      <c r="F50" s="911">
        <v>0</v>
      </c>
      <c r="G50"/>
      <c r="H50"/>
      <c r="I50"/>
      <c r="J50"/>
      <c r="K50"/>
      <c r="L50" s="6"/>
    </row>
    <row r="51" spans="1:12">
      <c r="A51" s="917">
        <f t="shared" ref="A51:A62" si="4">+A50+1</f>
        <v>31</v>
      </c>
      <c r="B51" s="916" t="s">
        <v>559</v>
      </c>
      <c r="C51" s="913">
        <v>0</v>
      </c>
      <c r="D51" s="912">
        <v>0</v>
      </c>
      <c r="E51" s="912">
        <v>0</v>
      </c>
      <c r="F51" s="911">
        <v>0</v>
      </c>
      <c r="G51"/>
      <c r="H51"/>
      <c r="I51"/>
      <c r="J51"/>
      <c r="K51"/>
      <c r="L51" s="6"/>
    </row>
    <row r="52" spans="1:12">
      <c r="A52" s="917">
        <f t="shared" si="4"/>
        <v>32</v>
      </c>
      <c r="B52" s="916" t="s">
        <v>630</v>
      </c>
      <c r="C52" s="913">
        <v>0</v>
      </c>
      <c r="D52" s="912">
        <v>0</v>
      </c>
      <c r="E52" s="912">
        <v>0</v>
      </c>
      <c r="F52" s="911">
        <v>0</v>
      </c>
      <c r="G52"/>
      <c r="H52"/>
      <c r="I52"/>
      <c r="J52"/>
      <c r="K52"/>
      <c r="L52" s="6"/>
    </row>
    <row r="53" spans="1:12">
      <c r="A53" s="917">
        <f t="shared" si="4"/>
        <v>33</v>
      </c>
      <c r="B53" s="916" t="s">
        <v>187</v>
      </c>
      <c r="C53" s="913">
        <v>0</v>
      </c>
      <c r="D53" s="912">
        <v>0</v>
      </c>
      <c r="E53" s="912">
        <v>0</v>
      </c>
      <c r="F53" s="911">
        <v>0</v>
      </c>
      <c r="G53"/>
      <c r="H53"/>
      <c r="I53"/>
      <c r="J53"/>
      <c r="K53"/>
      <c r="L53" s="6"/>
    </row>
    <row r="54" spans="1:12">
      <c r="A54" s="917">
        <f t="shared" si="4"/>
        <v>34</v>
      </c>
      <c r="B54" s="916" t="s">
        <v>188</v>
      </c>
      <c r="C54" s="913">
        <v>0</v>
      </c>
      <c r="D54" s="912">
        <v>0</v>
      </c>
      <c r="E54" s="912">
        <v>0</v>
      </c>
      <c r="F54" s="911">
        <v>0</v>
      </c>
      <c r="G54"/>
      <c r="H54"/>
      <c r="I54"/>
      <c r="J54"/>
      <c r="K54"/>
      <c r="L54" s="6"/>
    </row>
    <row r="55" spans="1:12">
      <c r="A55" s="917">
        <f t="shared" si="4"/>
        <v>35</v>
      </c>
      <c r="B55" s="916" t="s">
        <v>382</v>
      </c>
      <c r="C55" s="913">
        <v>0</v>
      </c>
      <c r="D55" s="912">
        <v>0</v>
      </c>
      <c r="E55" s="912">
        <v>0</v>
      </c>
      <c r="F55" s="911">
        <v>0</v>
      </c>
      <c r="G55"/>
      <c r="H55"/>
      <c r="I55"/>
      <c r="J55"/>
      <c r="K55"/>
      <c r="L55" s="6"/>
    </row>
    <row r="56" spans="1:12">
      <c r="A56" s="917">
        <f t="shared" si="4"/>
        <v>36</v>
      </c>
      <c r="B56" s="916" t="s">
        <v>189</v>
      </c>
      <c r="C56" s="913">
        <v>0</v>
      </c>
      <c r="D56" s="912">
        <v>0</v>
      </c>
      <c r="E56" s="912">
        <v>0</v>
      </c>
      <c r="F56" s="911">
        <v>0</v>
      </c>
      <c r="G56"/>
      <c r="H56"/>
      <c r="I56"/>
      <c r="J56"/>
      <c r="K56"/>
      <c r="L56" s="6"/>
    </row>
    <row r="57" spans="1:12">
      <c r="A57" s="917">
        <f t="shared" si="4"/>
        <v>37</v>
      </c>
      <c r="B57" s="916" t="s">
        <v>629</v>
      </c>
      <c r="C57" s="913">
        <v>0</v>
      </c>
      <c r="D57" s="912">
        <v>0</v>
      </c>
      <c r="E57" s="912">
        <v>0</v>
      </c>
      <c r="F57" s="911">
        <v>0</v>
      </c>
      <c r="G57"/>
      <c r="H57"/>
      <c r="I57"/>
      <c r="J57"/>
      <c r="K57"/>
      <c r="L57" s="6"/>
    </row>
    <row r="58" spans="1:12">
      <c r="A58" s="917">
        <f t="shared" si="4"/>
        <v>38</v>
      </c>
      <c r="B58" s="916" t="s">
        <v>192</v>
      </c>
      <c r="C58" s="913">
        <v>0</v>
      </c>
      <c r="D58" s="912">
        <v>0</v>
      </c>
      <c r="E58" s="912">
        <v>0</v>
      </c>
      <c r="F58" s="911">
        <v>0</v>
      </c>
      <c r="G58"/>
      <c r="H58"/>
      <c r="I58"/>
      <c r="J58"/>
      <c r="K58"/>
      <c r="L58" s="6"/>
    </row>
    <row r="59" spans="1:12">
      <c r="A59" s="917">
        <f t="shared" si="4"/>
        <v>39</v>
      </c>
      <c r="B59" s="916" t="s">
        <v>560</v>
      </c>
      <c r="C59" s="913">
        <v>0</v>
      </c>
      <c r="D59" s="912">
        <v>0</v>
      </c>
      <c r="E59" s="912">
        <v>0</v>
      </c>
      <c r="F59" s="911">
        <v>0</v>
      </c>
      <c r="G59"/>
      <c r="H59"/>
      <c r="I59"/>
      <c r="J59"/>
      <c r="K59"/>
      <c r="L59" s="6"/>
    </row>
    <row r="60" spans="1:12">
      <c r="A60" s="917">
        <f t="shared" si="4"/>
        <v>40</v>
      </c>
      <c r="B60" s="916" t="s">
        <v>561</v>
      </c>
      <c r="C60" s="913">
        <v>0</v>
      </c>
      <c r="D60" s="912">
        <v>0</v>
      </c>
      <c r="E60" s="912">
        <v>0</v>
      </c>
      <c r="F60" s="911">
        <v>0</v>
      </c>
      <c r="G60"/>
      <c r="H60"/>
      <c r="I60"/>
      <c r="J60"/>
      <c r="K60"/>
      <c r="L60" s="6"/>
    </row>
    <row r="61" spans="1:12">
      <c r="A61" s="915">
        <f t="shared" si="4"/>
        <v>41</v>
      </c>
      <c r="B61" s="914" t="s">
        <v>628</v>
      </c>
      <c r="C61" s="913">
        <v>0</v>
      </c>
      <c r="D61" s="912">
        <v>0</v>
      </c>
      <c r="E61" s="912">
        <v>156944.44</v>
      </c>
      <c r="F61" s="911">
        <v>0</v>
      </c>
      <c r="G61"/>
      <c r="H61"/>
      <c r="I61"/>
      <c r="J61"/>
      <c r="K61"/>
      <c r="L61" s="6"/>
    </row>
    <row r="62" spans="1:12" ht="13.5" thickBot="1">
      <c r="A62" s="910">
        <f t="shared" si="4"/>
        <v>42</v>
      </c>
      <c r="B62" s="1182" t="s">
        <v>858</v>
      </c>
      <c r="C62" s="938">
        <f>SUM(C49:C61)/13</f>
        <v>0</v>
      </c>
      <c r="D62" s="908">
        <f>SUM(D49:D61)/13</f>
        <v>0</v>
      </c>
      <c r="E62" s="908">
        <f>SUM(E49:E61)/13</f>
        <v>12072.649230769232</v>
      </c>
      <c r="F62" s="907">
        <f>SUM(F49:F61)/13</f>
        <v>0</v>
      </c>
      <c r="G62"/>
      <c r="H62"/>
      <c r="I62"/>
      <c r="J62"/>
      <c r="K62"/>
      <c r="L62" s="6"/>
    </row>
    <row r="63" spans="1:12" ht="13.5" thickTop="1">
      <c r="A63" s="906"/>
      <c r="B63" s="905"/>
      <c r="G63"/>
      <c r="H63"/>
      <c r="I63"/>
      <c r="J63"/>
      <c r="K63"/>
    </row>
    <row r="64" spans="1:12">
      <c r="A64" s="906">
        <v>43</v>
      </c>
      <c r="B64" s="905" t="s">
        <v>627</v>
      </c>
      <c r="D64" s="904">
        <f>+E42-D62</f>
        <v>888403860.4869231</v>
      </c>
      <c r="I64" s="903"/>
      <c r="K64" s="6"/>
    </row>
    <row r="65" spans="1:7" customFormat="1"/>
    <row r="66" spans="1:7" customFormat="1">
      <c r="A66" s="902"/>
      <c r="B66" s="279"/>
      <c r="C66" s="280"/>
      <c r="D66" s="281"/>
      <c r="E66" s="70"/>
      <c r="F66" s="70"/>
      <c r="G66" s="84"/>
    </row>
    <row r="67" spans="1:7" customFormat="1" ht="25.5">
      <c r="A67" s="959" t="s">
        <v>3</v>
      </c>
      <c r="B67" s="279"/>
      <c r="C67" s="956" t="s">
        <v>2</v>
      </c>
      <c r="D67" s="957" t="str">
        <f>"Balance @ December 31, "&amp;TCOS!L4&amp;""</f>
        <v>Balance @ December 31, 2021</v>
      </c>
      <c r="E67" s="958" t="str">
        <f>"Balance @ December 31, "&amp;TCOS!L4-1&amp;""</f>
        <v>Balance @ December 31, 2020</v>
      </c>
      <c r="F67" s="958" t="str">
        <f>"Average Balance for "&amp;TCOS!L4&amp;""</f>
        <v>Average Balance for 2021</v>
      </c>
      <c r="G67" s="84"/>
    </row>
    <row r="68" spans="1:7" customFormat="1">
      <c r="A68" s="89"/>
      <c r="B68" s="924" t="s">
        <v>638</v>
      </c>
      <c r="C68" s="924" t="s">
        <v>637</v>
      </c>
      <c r="D68" s="924" t="s">
        <v>636</v>
      </c>
      <c r="E68" s="924" t="s">
        <v>635</v>
      </c>
      <c r="F68" s="924" t="s">
        <v>634</v>
      </c>
      <c r="G68" s="84"/>
    </row>
    <row r="69" spans="1:7" customFormat="1">
      <c r="A69" s="282">
        <f>+A64+1</f>
        <v>44</v>
      </c>
      <c r="B69" s="89" t="s">
        <v>3</v>
      </c>
      <c r="C69" s="285" t="s">
        <v>374</v>
      </c>
      <c r="D69" s="840">
        <v>4808307</v>
      </c>
      <c r="E69" s="1549">
        <v>4823606</v>
      </c>
      <c r="F69" s="133">
        <f>IF(E69="",0,AVERAGE(D69:E69))</f>
        <v>4815956.5</v>
      </c>
    </row>
    <row r="70" spans="1:7" customFormat="1">
      <c r="A70" s="278"/>
      <c r="B70" s="286"/>
      <c r="C70" s="286"/>
      <c r="F70" s="84"/>
    </row>
    <row r="71" spans="1:7" customFormat="1">
      <c r="A71" s="277">
        <f>+A69+1</f>
        <v>45</v>
      </c>
      <c r="B71" s="89" t="s">
        <v>821</v>
      </c>
      <c r="C71" s="303" t="s">
        <v>67</v>
      </c>
      <c r="D71" s="1549">
        <v>2523348.52</v>
      </c>
      <c r="E71" s="1549">
        <v>2525526</v>
      </c>
      <c r="F71" s="133">
        <f>IF(E71="",0,AVERAGE(D71:E71))</f>
        <v>2524437.2599999998</v>
      </c>
    </row>
    <row r="72" spans="1:7" customFormat="1">
      <c r="A72" s="227"/>
      <c r="B72" s="227"/>
      <c r="C72" s="227"/>
      <c r="D72" s="227"/>
    </row>
    <row r="73" spans="1:7" customFormat="1">
      <c r="A73" s="89" t="s">
        <v>236</v>
      </c>
      <c r="B73" s="227"/>
      <c r="C73" s="227"/>
      <c r="D73" s="227"/>
    </row>
    <row r="74" spans="1:7" customFormat="1">
      <c r="A74" s="283"/>
      <c r="B74" s="284" t="s">
        <v>360</v>
      </c>
      <c r="C74" s="284"/>
      <c r="D74" s="78"/>
      <c r="E74" s="78"/>
      <c r="F74" s="78"/>
    </row>
    <row r="75" spans="1:7" customFormat="1">
      <c r="A75" s="282">
        <f>+A71+1</f>
        <v>46</v>
      </c>
      <c r="B75" s="841"/>
      <c r="C75" s="841"/>
      <c r="D75" s="840"/>
      <c r="E75" s="840"/>
      <c r="F75" s="133">
        <f>IF(E75="",0,AVERAGE(D75:E75))</f>
        <v>0</v>
      </c>
    </row>
    <row r="76" spans="1:7" customFormat="1">
      <c r="A76" s="282">
        <f>+A75+1</f>
        <v>47</v>
      </c>
      <c r="B76" s="841"/>
      <c r="C76" s="841"/>
      <c r="D76" s="840"/>
      <c r="E76" s="840"/>
      <c r="F76" s="133">
        <f>IF(E76="",0,AVERAGE(D76:E76))</f>
        <v>0</v>
      </c>
    </row>
    <row r="77" spans="1:7" customFormat="1">
      <c r="A77" s="282">
        <f>+A76+1</f>
        <v>48</v>
      </c>
      <c r="B77" s="841"/>
      <c r="C77" s="841"/>
      <c r="D77" s="840"/>
      <c r="E77" s="840"/>
      <c r="F77" s="133">
        <f>IF(E77="",0,AVERAGE(D77:E77))</f>
        <v>0</v>
      </c>
    </row>
    <row r="78" spans="1:7" customFormat="1">
      <c r="A78" s="282">
        <f>+A77+1</f>
        <v>49</v>
      </c>
      <c r="B78" s="841"/>
      <c r="C78" s="841"/>
      <c r="D78" s="840"/>
      <c r="E78" s="840"/>
      <c r="F78" s="133">
        <f>IF(E78="",0,AVERAGE(D78:E78))</f>
        <v>0</v>
      </c>
    </row>
    <row r="79" spans="1:7" customFormat="1">
      <c r="A79" s="282">
        <f>+A78+1</f>
        <v>50</v>
      </c>
      <c r="B79" s="841"/>
      <c r="C79" s="841"/>
      <c r="D79" s="842"/>
      <c r="E79" s="842"/>
      <c r="F79" s="964">
        <f>IF(E79="",0,AVERAGE(D79:E79))</f>
        <v>0</v>
      </c>
    </row>
    <row r="80" spans="1:7" customFormat="1">
      <c r="A80" s="282">
        <f>+A79+1</f>
        <v>51</v>
      </c>
      <c r="B80" s="284" t="s">
        <v>497</v>
      </c>
      <c r="C80" s="284"/>
      <c r="D80" s="183">
        <f>SUM(D75:D79)</f>
        <v>0</v>
      </c>
      <c r="E80" s="183">
        <f>SUM(E75:E79)</f>
        <v>0</v>
      </c>
      <c r="F80" s="183">
        <f>SUM(F75:F79)</f>
        <v>0</v>
      </c>
    </row>
    <row r="81" spans="1:7" customFormat="1">
      <c r="A81" s="282"/>
      <c r="B81" s="284"/>
      <c r="C81" s="284"/>
      <c r="D81" s="183"/>
      <c r="E81" s="183"/>
      <c r="F81" s="183"/>
    </row>
    <row r="82" spans="1:7" customFormat="1" ht="18">
      <c r="A82" s="89" t="s">
        <v>750</v>
      </c>
      <c r="B82" s="899"/>
      <c r="C82" s="899"/>
      <c r="D82" s="899"/>
      <c r="E82" s="78"/>
      <c r="F82" s="78"/>
      <c r="G82" s="78"/>
    </row>
    <row r="83" spans="1:7" customFormat="1">
      <c r="A83" s="75"/>
      <c r="B83" s="233"/>
      <c r="C83" s="236"/>
      <c r="D83" s="8"/>
      <c r="E83" s="78"/>
      <c r="F83" s="78"/>
      <c r="G83" s="78"/>
    </row>
    <row r="84" spans="1:7" customFormat="1">
      <c r="A84" s="75">
        <f>+A80+1</f>
        <v>52</v>
      </c>
      <c r="B84" s="13" t="s">
        <v>167</v>
      </c>
      <c r="C84" s="13" t="s">
        <v>306</v>
      </c>
      <c r="D84" s="960"/>
      <c r="E84" s="21"/>
      <c r="F84" s="13"/>
      <c r="G84" s="21"/>
    </row>
    <row r="85" spans="1:7" customFormat="1" ht="14.25">
      <c r="A85" s="961" t="s">
        <v>743</v>
      </c>
      <c r="B85" s="1232" t="s">
        <v>864</v>
      </c>
      <c r="C85" s="1360" t="s">
        <v>1162</v>
      </c>
      <c r="D85" s="840">
        <v>77263.019</v>
      </c>
      <c r="E85" s="1549">
        <v>77141.399000000005</v>
      </c>
      <c r="F85" s="965">
        <f>IF(E85="",0,AVERAGE(D85:E85))</f>
        <v>77202.209000000003</v>
      </c>
      <c r="G85" s="21"/>
    </row>
    <row r="86" spans="1:7" customFormat="1" ht="14.25">
      <c r="A86" s="962" t="s">
        <v>744</v>
      </c>
      <c r="B86" s="1232" t="s">
        <v>1287</v>
      </c>
      <c r="C86" s="1360" t="s">
        <v>1289</v>
      </c>
      <c r="D86" s="1549">
        <v>22445.57</v>
      </c>
      <c r="E86" s="1549">
        <v>57668.43</v>
      </c>
      <c r="F86" s="965">
        <f>IF(E86="",0,AVERAGE(D86:E86))</f>
        <v>40057</v>
      </c>
      <c r="G86" s="21"/>
    </row>
    <row r="87" spans="1:7" customFormat="1" ht="14.25">
      <c r="A87" s="1574" t="s">
        <v>1286</v>
      </c>
      <c r="B87" s="1232" t="s">
        <v>1288</v>
      </c>
      <c r="C87" s="1107" t="s">
        <v>1290</v>
      </c>
      <c r="D87" s="842">
        <v>176891.76</v>
      </c>
      <c r="E87" s="842">
        <v>566499.77</v>
      </c>
      <c r="F87" s="966">
        <f>IF(E87="",0,AVERAGE(D87:E87))</f>
        <v>371695.76500000001</v>
      </c>
      <c r="G87" s="21"/>
    </row>
    <row r="88" spans="1:7" customFormat="1" ht="18" customHeight="1">
      <c r="A88" s="963">
        <v>54</v>
      </c>
      <c r="B88" s="21"/>
      <c r="C88" s="5" t="s">
        <v>118</v>
      </c>
      <c r="D88" s="904">
        <f>SUM(D85:D87)</f>
        <v>276600.34900000005</v>
      </c>
      <c r="E88" s="904">
        <f>SUM(E85:E87)</f>
        <v>701309.59900000005</v>
      </c>
      <c r="F88" s="904">
        <f>SUM(F85:F87)</f>
        <v>488954.97400000005</v>
      </c>
      <c r="G88" s="21"/>
    </row>
    <row r="89" spans="1:7" customFormat="1">
      <c r="A89" s="282"/>
      <c r="B89" s="284"/>
      <c r="C89" s="284"/>
      <c r="D89" s="284"/>
      <c r="G89" s="21"/>
    </row>
    <row r="90" spans="1:7">
      <c r="A90" s="955" t="s">
        <v>669</v>
      </c>
      <c r="B90" s="284"/>
      <c r="C90" s="284"/>
      <c r="D90" s="284"/>
      <c r="G90" s="960"/>
    </row>
    <row r="91" spans="1:7">
      <c r="A91" s="955" t="s">
        <v>668</v>
      </c>
      <c r="B91" s="284"/>
      <c r="C91" s="284"/>
      <c r="D91" s="284"/>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8" t="s">
        <v>114</v>
      </c>
    </row>
    <row r="2" spans="1:21" ht="15.75">
      <c r="A2" s="898" t="s">
        <v>114</v>
      </c>
    </row>
    <row r="3" spans="1:21" ht="18">
      <c r="A3" s="1700" t="s">
        <v>387</v>
      </c>
      <c r="B3" s="1700"/>
      <c r="C3" s="1700"/>
      <c r="D3" s="1700"/>
      <c r="E3" s="1700"/>
      <c r="F3" s="1700"/>
      <c r="G3" s="1700"/>
      <c r="H3" s="1700"/>
      <c r="I3" s="1700"/>
      <c r="J3" s="1700"/>
      <c r="K3" s="1700"/>
      <c r="L3" s="1700"/>
      <c r="M3" s="1700"/>
      <c r="N3" s="1700"/>
      <c r="O3" s="1700"/>
    </row>
    <row r="4" spans="1:21" ht="18">
      <c r="A4" s="1699" t="str">
        <f>"Cost of Service Formula Rate Using Actual/Projected FF1 Balances"</f>
        <v>Cost of Service Formula Rate Using Actual/Projected FF1 Balances</v>
      </c>
      <c r="B4" s="1699"/>
      <c r="C4" s="1699"/>
      <c r="D4" s="1699"/>
      <c r="E4" s="1699"/>
      <c r="F4" s="1699"/>
      <c r="G4" s="1699"/>
      <c r="H4" s="1699"/>
      <c r="I4" s="1699"/>
      <c r="J4" s="1699"/>
      <c r="K4" s="1699"/>
      <c r="L4" s="1699"/>
      <c r="M4" s="1699"/>
      <c r="N4" s="1699"/>
      <c r="O4" s="1699"/>
    </row>
    <row r="5" spans="1:21" ht="18">
      <c r="A5" s="1699" t="s">
        <v>239</v>
      </c>
      <c r="B5" s="1699"/>
      <c r="C5" s="1699"/>
      <c r="D5" s="1699"/>
      <c r="E5" s="1699"/>
      <c r="F5" s="1699"/>
      <c r="G5" s="1699"/>
      <c r="H5" s="1699"/>
      <c r="I5" s="1699"/>
      <c r="J5" s="1699"/>
      <c r="K5" s="1699"/>
      <c r="L5" s="1699"/>
      <c r="M5" s="1699"/>
      <c r="N5" s="1699"/>
      <c r="O5" s="1699"/>
    </row>
    <row r="6" spans="1:21" ht="18">
      <c r="A6" s="1694" t="str">
        <f>+TCOS!F9</f>
        <v>Ohio Power Company</v>
      </c>
      <c r="B6" s="1694"/>
      <c r="C6" s="1694"/>
      <c r="D6" s="1694"/>
      <c r="E6" s="1694"/>
      <c r="F6" s="1694"/>
      <c r="G6" s="1694"/>
      <c r="H6" s="1694"/>
      <c r="I6" s="1694"/>
      <c r="J6" s="1694"/>
      <c r="K6" s="1694"/>
      <c r="L6" s="1694"/>
      <c r="M6" s="1694"/>
      <c r="N6" s="1694"/>
      <c r="O6" s="1694"/>
    </row>
    <row r="7" spans="1:21" ht="12.75" customHeight="1">
      <c r="A7" s="160"/>
      <c r="B7" s="160"/>
      <c r="C7" s="160"/>
      <c r="D7" s="160"/>
      <c r="E7" s="160"/>
      <c r="F7" s="160"/>
      <c r="G7" s="160"/>
      <c r="H7" s="160"/>
      <c r="I7" s="160"/>
      <c r="J7" s="160"/>
      <c r="K7" s="160"/>
      <c r="L7" s="160"/>
    </row>
    <row r="8" spans="1:21" ht="12.75" customHeight="1">
      <c r="A8" s="1733" t="s">
        <v>390</v>
      </c>
      <c r="B8" s="1733"/>
      <c r="C8" s="1733"/>
      <c r="D8" s="1733"/>
      <c r="E8" s="1733"/>
      <c r="F8" s="1733"/>
      <c r="G8" s="1733"/>
      <c r="H8" s="1733"/>
      <c r="I8" s="1733"/>
      <c r="J8" s="1733"/>
      <c r="K8" s="1733"/>
      <c r="L8" s="1733"/>
      <c r="M8" s="1733"/>
      <c r="N8" s="1733"/>
      <c r="O8" s="1733"/>
    </row>
    <row r="9" spans="1:21" ht="12.75" customHeight="1">
      <c r="A9" s="1733"/>
      <c r="B9" s="1733"/>
      <c r="C9" s="1733"/>
      <c r="D9" s="1733"/>
      <c r="E9" s="1733"/>
      <c r="F9" s="1733"/>
      <c r="G9" s="1733"/>
      <c r="H9" s="1733"/>
      <c r="I9" s="1733"/>
      <c r="J9" s="1733"/>
      <c r="K9" s="1733"/>
      <c r="L9" s="1733"/>
      <c r="M9" s="1733"/>
      <c r="N9" s="1733"/>
      <c r="O9" s="1733"/>
    </row>
    <row r="10" spans="1:21">
      <c r="A10" s="1733"/>
      <c r="B10" s="1733"/>
      <c r="C10" s="1733"/>
      <c r="D10" s="1733"/>
      <c r="E10" s="1733"/>
      <c r="F10" s="1733"/>
      <c r="G10" s="1733"/>
      <c r="H10" s="1733"/>
      <c r="I10" s="1733"/>
      <c r="J10" s="1733"/>
      <c r="K10" s="1733"/>
      <c r="L10" s="1733"/>
      <c r="M10" s="1733"/>
      <c r="N10" s="1733"/>
      <c r="O10" s="1733"/>
    </row>
    <row r="11" spans="1:21">
      <c r="A11" s="1733"/>
      <c r="B11" s="1733"/>
      <c r="C11" s="1733"/>
      <c r="D11" s="1733"/>
      <c r="E11" s="1733"/>
      <c r="F11" s="1733"/>
      <c r="G11" s="1733"/>
      <c r="H11" s="1733"/>
      <c r="I11" s="1733"/>
      <c r="J11" s="1733"/>
      <c r="K11" s="1733"/>
      <c r="L11" s="1733"/>
      <c r="M11" s="1733"/>
      <c r="N11" s="1733"/>
      <c r="O11" s="1733"/>
    </row>
    <row r="12" spans="1:21">
      <c r="B12" s="1" t="s">
        <v>162</v>
      </c>
      <c r="C12" s="1"/>
      <c r="D12" s="1732" t="s">
        <v>163</v>
      </c>
      <c r="E12" s="1732"/>
      <c r="F12" s="1732"/>
      <c r="G12" s="1732"/>
      <c r="H12" s="1"/>
      <c r="I12" s="1" t="s">
        <v>4</v>
      </c>
      <c r="J12" s="1"/>
      <c r="K12" s="1" t="s">
        <v>165</v>
      </c>
      <c r="L12" s="1"/>
      <c r="M12" s="1" t="s">
        <v>84</v>
      </c>
      <c r="N12" s="1"/>
      <c r="O12" s="1" t="s">
        <v>85</v>
      </c>
      <c r="P12" s="1"/>
      <c r="Q12" s="1" t="s">
        <v>20</v>
      </c>
      <c r="R12" s="1"/>
      <c r="S12" s="1" t="s">
        <v>91</v>
      </c>
      <c r="T12" s="1"/>
      <c r="U12" s="103" t="s">
        <v>500</v>
      </c>
    </row>
    <row r="13" spans="1:21">
      <c r="I13" s="1729" t="s">
        <v>18</v>
      </c>
      <c r="Q13" s="1728" t="s">
        <v>19</v>
      </c>
      <c r="S13" s="1729" t="s">
        <v>21</v>
      </c>
      <c r="U13" s="291" t="s">
        <v>80</v>
      </c>
    </row>
    <row r="14" spans="1:21">
      <c r="A14" s="169" t="s">
        <v>17</v>
      </c>
      <c r="B14" s="169" t="s">
        <v>13</v>
      </c>
      <c r="C14" s="169"/>
      <c r="D14" s="210" t="s">
        <v>14</v>
      </c>
      <c r="E14" s="169"/>
      <c r="F14" s="169"/>
      <c r="G14" s="169"/>
      <c r="H14" s="169"/>
      <c r="I14" s="1731"/>
      <c r="J14" s="169"/>
      <c r="K14" s="169" t="s">
        <v>15</v>
      </c>
      <c r="L14" s="169"/>
      <c r="M14" s="169" t="s">
        <v>16</v>
      </c>
      <c r="N14" s="169"/>
      <c r="O14" s="169" t="s">
        <v>493</v>
      </c>
      <c r="Q14" s="1728"/>
      <c r="S14" s="1729"/>
      <c r="U14" s="291" t="s">
        <v>306</v>
      </c>
    </row>
    <row r="15" spans="1:21">
      <c r="A15" s="169"/>
      <c r="B15" s="169"/>
      <c r="C15" s="169"/>
      <c r="D15" s="210"/>
      <c r="E15" s="169"/>
      <c r="F15" s="169"/>
      <c r="G15" s="169"/>
      <c r="H15" s="169"/>
      <c r="I15" s="3" t="s">
        <v>491</v>
      </c>
      <c r="J15" s="169"/>
      <c r="K15" s="169"/>
      <c r="L15" s="169"/>
      <c r="M15" s="169"/>
      <c r="N15" s="169"/>
      <c r="O15" s="169"/>
      <c r="Q15" s="231"/>
      <c r="S15" s="169" t="s">
        <v>493</v>
      </c>
    </row>
    <row r="16" spans="1:21">
      <c r="I16" t="s">
        <v>492</v>
      </c>
    </row>
    <row r="17" spans="1:21">
      <c r="A17" s="1">
        <v>1</v>
      </c>
      <c r="B17" s="877"/>
      <c r="D17" s="1730"/>
      <c r="E17" s="1730"/>
      <c r="F17" s="1730"/>
      <c r="G17" s="1730"/>
      <c r="I17" s="878"/>
      <c r="K17" s="876"/>
      <c r="L17" s="134"/>
      <c r="M17" s="876"/>
      <c r="O17" s="177">
        <f>+K17-M17</f>
        <v>0</v>
      </c>
      <c r="Q17" s="217">
        <f>IF(I17="G",TCOS!L241,IF(I17="T",1,0))</f>
        <v>0</v>
      </c>
      <c r="S17" s="177">
        <f>ROUND(O17*Q17,0)</f>
        <v>0</v>
      </c>
      <c r="U17" s="879"/>
    </row>
    <row r="18" spans="1:21">
      <c r="A18" s="1"/>
      <c r="D18" s="1730"/>
      <c r="E18" s="1730"/>
      <c r="F18" s="1730"/>
      <c r="G18" s="1730"/>
      <c r="K18" s="134"/>
      <c r="L18" s="134"/>
      <c r="M18" s="134"/>
      <c r="O18" s="134"/>
      <c r="Q18" s="217"/>
      <c r="S18" s="134"/>
    </row>
    <row r="19" spans="1:21">
      <c r="A19" s="1"/>
      <c r="D19" s="1730"/>
      <c r="E19" s="1730"/>
      <c r="F19" s="1730"/>
      <c r="G19" s="1730"/>
      <c r="K19" s="134"/>
      <c r="L19" s="134"/>
      <c r="M19" s="134"/>
      <c r="O19" s="134"/>
      <c r="Q19" s="217"/>
      <c r="S19" s="134"/>
    </row>
    <row r="20" spans="1:21">
      <c r="A20" s="1"/>
      <c r="K20" s="134"/>
      <c r="L20" s="134"/>
      <c r="M20" s="134"/>
      <c r="O20" s="134"/>
      <c r="Q20" s="217"/>
      <c r="S20" s="134"/>
    </row>
    <row r="21" spans="1:21">
      <c r="A21" s="1"/>
      <c r="K21" s="134"/>
      <c r="L21" s="134"/>
      <c r="M21" s="134"/>
      <c r="O21" s="134"/>
      <c r="Q21" s="217"/>
      <c r="S21" s="134"/>
    </row>
    <row r="22" spans="1:21" ht="12" customHeight="1">
      <c r="A22" s="1">
        <f>+A17+1</f>
        <v>2</v>
      </c>
      <c r="B22" s="877"/>
      <c r="D22" s="1730"/>
      <c r="E22" s="1730"/>
      <c r="F22" s="1730"/>
      <c r="G22" s="1730"/>
      <c r="I22" s="878"/>
      <c r="K22" s="876"/>
      <c r="L22" s="134"/>
      <c r="M22" s="876"/>
      <c r="O22" s="177">
        <f>+K22-M22</f>
        <v>0</v>
      </c>
      <c r="Q22" s="217">
        <f>IF(I22="G",TCOS!L241,IF(I22="T",1,0))</f>
        <v>0</v>
      </c>
      <c r="S22" s="177">
        <f>ROUND(O22*Q22,0)</f>
        <v>0</v>
      </c>
      <c r="U22" s="879"/>
    </row>
    <row r="23" spans="1:21">
      <c r="A23" s="1"/>
      <c r="D23" s="1730"/>
      <c r="E23" s="1730"/>
      <c r="F23" s="1730"/>
      <c r="G23" s="1730"/>
      <c r="K23" s="134"/>
      <c r="L23" s="134"/>
      <c r="M23" s="134"/>
      <c r="O23" s="134"/>
      <c r="Q23" s="217"/>
      <c r="S23" s="134"/>
    </row>
    <row r="24" spans="1:21">
      <c r="A24" s="1"/>
      <c r="D24" s="1730"/>
      <c r="E24" s="1730"/>
      <c r="F24" s="1730"/>
      <c r="G24" s="1730"/>
      <c r="K24" s="134"/>
      <c r="L24" s="134"/>
      <c r="M24" s="134"/>
      <c r="O24" s="134"/>
      <c r="Q24" s="217"/>
      <c r="S24" s="134"/>
    </row>
    <row r="25" spans="1:21">
      <c r="A25" s="1"/>
      <c r="I25" s="1"/>
      <c r="K25" s="134"/>
      <c r="L25" s="134"/>
      <c r="M25" s="134"/>
      <c r="O25" s="134"/>
      <c r="Q25" s="217"/>
      <c r="S25" s="134"/>
    </row>
    <row r="26" spans="1:21">
      <c r="A26" s="1"/>
      <c r="I26" s="1"/>
      <c r="K26" s="134"/>
      <c r="L26" s="134"/>
      <c r="M26" s="134"/>
      <c r="O26" s="134"/>
      <c r="Q26" s="217"/>
      <c r="S26" s="134"/>
    </row>
    <row r="27" spans="1:21">
      <c r="A27" s="1">
        <f>+A22+1</f>
        <v>3</v>
      </c>
      <c r="B27" s="877"/>
      <c r="D27" s="1730"/>
      <c r="E27" s="1730"/>
      <c r="F27" s="1730"/>
      <c r="G27" s="1730"/>
      <c r="I27" s="878"/>
      <c r="K27" s="876"/>
      <c r="L27" s="134"/>
      <c r="M27" s="876"/>
      <c r="O27" s="177">
        <f>+K27-M27</f>
        <v>0</v>
      </c>
      <c r="Q27" s="217">
        <f>IF(I27="G",TCOS!L241,IF(I27="T",1,0))</f>
        <v>0</v>
      </c>
      <c r="S27" s="177">
        <f>ROUND(O27*Q27,0)</f>
        <v>0</v>
      </c>
      <c r="U27" s="879"/>
    </row>
    <row r="28" spans="1:21">
      <c r="A28" s="1"/>
      <c r="D28" s="1730"/>
      <c r="E28" s="1730"/>
      <c r="F28" s="1730"/>
      <c r="G28" s="1730"/>
      <c r="K28" s="134"/>
      <c r="L28" s="134"/>
      <c r="M28" s="134"/>
      <c r="O28" s="134"/>
      <c r="Q28" s="217"/>
      <c r="S28" s="134"/>
    </row>
    <row r="29" spans="1:21">
      <c r="A29" s="1"/>
      <c r="D29" s="1730"/>
      <c r="E29" s="1730"/>
      <c r="F29" s="1730"/>
      <c r="G29" s="1730"/>
      <c r="K29" s="134"/>
      <c r="L29" s="134"/>
      <c r="M29" s="134"/>
      <c r="O29" s="134"/>
      <c r="Q29" s="217"/>
    </row>
    <row r="30" spans="1:21">
      <c r="A30" s="1"/>
      <c r="O30" s="134"/>
      <c r="Q30" s="217"/>
    </row>
    <row r="31" spans="1:21">
      <c r="A31" s="1"/>
      <c r="O31" s="134"/>
      <c r="Q31" s="217"/>
    </row>
    <row r="32" spans="1:21">
      <c r="A32" s="1"/>
      <c r="O32" s="134"/>
      <c r="Q32" s="217"/>
    </row>
    <row r="33" spans="1:19" ht="13.5" thickBot="1">
      <c r="A33" s="1">
        <f>+A27+1</f>
        <v>4</v>
      </c>
      <c r="K33" t="str">
        <f>"Net (Gain) or Loss for "&amp;TCOS!L4&amp;""</f>
        <v>Net (Gain) or Loss for 2021</v>
      </c>
      <c r="O33" s="229">
        <f>SUM(O17:O27)</f>
        <v>0</v>
      </c>
      <c r="Q33" s="230"/>
      <c r="S33" s="229">
        <f>SUM(S17:S27)</f>
        <v>0</v>
      </c>
    </row>
    <row r="34" spans="1:19" ht="13.5" thickTop="1">
      <c r="A34" s="1"/>
      <c r="O34" s="134"/>
      <c r="Q34" s="23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2"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75"/>
  <sheetViews>
    <sheetView view="pageBreakPreview" topLeftCell="A4" zoomScaleNormal="75" zoomScaleSheetLayoutView="100" workbookViewId="0">
      <selection activeCell="H22" sqref="H22"/>
    </sheetView>
  </sheetViews>
  <sheetFormatPr defaultColWidth="9.140625" defaultRowHeight="12.75"/>
  <cols>
    <col min="1" max="1" width="8.140625" style="1184" customWidth="1"/>
    <col min="2" max="2" width="28.85546875" style="1184" customWidth="1"/>
    <col min="3" max="3" width="17.85546875" style="1184" customWidth="1"/>
    <col min="4" max="4" width="19.42578125" style="1184" customWidth="1"/>
    <col min="5" max="6" width="19.85546875" style="1184" customWidth="1"/>
    <col min="7" max="7" width="21.42578125" style="1184" customWidth="1"/>
    <col min="8" max="9" width="19.85546875" style="1184" customWidth="1"/>
    <col min="10" max="10" width="21.42578125" style="1184" customWidth="1"/>
    <col min="11" max="11" width="18.140625" style="1184" customWidth="1"/>
    <col min="12" max="12" width="22.42578125" style="1184" customWidth="1"/>
    <col min="13" max="13" width="22.140625" style="1184" customWidth="1"/>
    <col min="14" max="14" width="11.140625" style="1184" customWidth="1"/>
    <col min="15" max="15" width="11.42578125" style="1184" bestFit="1" customWidth="1"/>
    <col min="16" max="16" width="12.42578125" style="1184" customWidth="1"/>
    <col min="17" max="17" width="9.140625" style="1184"/>
    <col min="18" max="18" width="10.42578125" style="1184" bestFit="1" customWidth="1"/>
    <col min="19" max="19" width="9.140625" style="1184"/>
    <col min="20" max="20" width="12.85546875" style="1184" customWidth="1"/>
    <col min="21" max="21" width="13.5703125" style="1184" customWidth="1"/>
    <col min="22" max="16384" width="9.140625" style="1184"/>
  </cols>
  <sheetData>
    <row r="1" spans="1:17" ht="15.75">
      <c r="A1" s="1183" t="s">
        <v>114</v>
      </c>
    </row>
    <row r="2" spans="1:17" ht="15.75">
      <c r="A2" s="1183" t="s">
        <v>114</v>
      </c>
    </row>
    <row r="3" spans="1:17" ht="15.75">
      <c r="A3" s="1740" t="s">
        <v>387</v>
      </c>
      <c r="B3" s="1740"/>
      <c r="C3" s="1740"/>
      <c r="D3" s="1740"/>
      <c r="E3" s="1740"/>
      <c r="F3" s="1740"/>
      <c r="G3" s="1740"/>
      <c r="H3" s="1740"/>
      <c r="I3" s="1740"/>
      <c r="J3" s="1740"/>
      <c r="K3" s="1740"/>
      <c r="L3" s="1185"/>
      <c r="M3" s="1185"/>
      <c r="N3" s="1186"/>
      <c r="O3" s="1186"/>
      <c r="P3" s="1186"/>
      <c r="Q3" s="1186"/>
    </row>
    <row r="4" spans="1:17" ht="15.75">
      <c r="A4" s="1741" t="str">
        <f>"Cost of Service Formula Rate Using Actual/Projected FF1 Balances"</f>
        <v>Cost of Service Formula Rate Using Actual/Projected FF1 Balances</v>
      </c>
      <c r="B4" s="1742"/>
      <c r="C4" s="1742"/>
      <c r="D4" s="1742"/>
      <c r="E4" s="1742"/>
      <c r="F4" s="1742"/>
      <c r="G4" s="1742"/>
      <c r="H4" s="1742"/>
      <c r="I4" s="1742"/>
      <c r="J4" s="1742"/>
      <c r="K4" s="1742"/>
      <c r="L4" s="1187"/>
      <c r="M4" s="1189"/>
      <c r="N4" s="1190"/>
      <c r="O4" s="1190"/>
      <c r="P4" s="1190"/>
      <c r="Q4" s="1190"/>
    </row>
    <row r="5" spans="1:17" ht="15.75">
      <c r="A5" s="1743" t="s">
        <v>849</v>
      </c>
      <c r="B5" s="1743"/>
      <c r="C5" s="1743"/>
      <c r="D5" s="1743"/>
      <c r="E5" s="1743"/>
      <c r="F5" s="1743"/>
      <c r="G5" s="1743"/>
      <c r="H5" s="1743"/>
      <c r="I5" s="1743"/>
      <c r="J5" s="1743"/>
      <c r="K5" s="1743"/>
      <c r="L5" s="1187"/>
      <c r="M5" s="1191"/>
      <c r="N5" s="1191"/>
      <c r="O5" s="1191"/>
      <c r="P5" s="1191"/>
      <c r="Q5" s="1191"/>
    </row>
    <row r="6" spans="1:17" ht="15.75">
      <c r="A6" s="1744" t="str">
        <f>TCOS!F9</f>
        <v>Ohio Power Company</v>
      </c>
      <c r="B6" s="1744"/>
      <c r="C6" s="1744"/>
      <c r="D6" s="1744"/>
      <c r="E6" s="1744"/>
      <c r="F6" s="1744"/>
      <c r="G6" s="1744"/>
      <c r="H6" s="1744"/>
      <c r="I6" s="1744"/>
      <c r="J6" s="1744"/>
      <c r="K6" s="1744"/>
      <c r="L6" s="1192"/>
      <c r="M6" s="1192"/>
      <c r="N6" s="1193"/>
      <c r="O6" s="1193"/>
      <c r="P6" s="1193"/>
      <c r="Q6" s="1193"/>
    </row>
    <row r="9" spans="1:17">
      <c r="B9" s="1737"/>
      <c r="C9" s="1737"/>
      <c r="D9" s="1737"/>
      <c r="E9" s="1737"/>
      <c r="F9" s="1737"/>
      <c r="G9" s="1737"/>
      <c r="H9" s="1737"/>
      <c r="I9" s="1737"/>
      <c r="J9" s="1737"/>
      <c r="K9" s="1737"/>
      <c r="L9" s="1737"/>
      <c r="M9" s="1737"/>
      <c r="N9" s="1195"/>
      <c r="O9" s="1195"/>
      <c r="P9" s="1195"/>
      <c r="Q9" s="1195"/>
    </row>
    <row r="10" spans="1:17">
      <c r="I10" s="1195"/>
      <c r="J10" s="1195"/>
      <c r="K10" s="1195"/>
      <c r="L10" s="1195"/>
      <c r="M10" s="1195"/>
      <c r="N10" s="1195"/>
      <c r="O10" s="1195"/>
      <c r="P10" s="1195"/>
      <c r="Q10" s="1195"/>
    </row>
    <row r="11" spans="1:17">
      <c r="I11" s="1195"/>
      <c r="J11" s="1195"/>
      <c r="K11" s="1195"/>
      <c r="L11" s="1195"/>
      <c r="M11" s="1195"/>
      <c r="N11" s="1195"/>
      <c r="O11" s="1195"/>
      <c r="P11" s="1195"/>
      <c r="Q11" s="1195"/>
    </row>
    <row r="12" spans="1:17">
      <c r="A12" s="1188">
        <v>1</v>
      </c>
      <c r="B12" s="1184" t="s">
        <v>823</v>
      </c>
      <c r="E12" s="1620">
        <v>52287952</v>
      </c>
      <c r="I12" s="1207"/>
      <c r="J12" s="1195"/>
      <c r="K12" s="1195"/>
      <c r="L12" s="1195"/>
      <c r="M12" s="1195"/>
      <c r="N12" s="1195"/>
      <c r="O12" s="1195"/>
      <c r="P12" s="1195"/>
      <c r="Q12" s="1195"/>
    </row>
    <row r="13" spans="1:17">
      <c r="I13" s="1207"/>
      <c r="J13" s="1195"/>
      <c r="K13" s="1195"/>
      <c r="L13" s="1195"/>
      <c r="M13" s="1195"/>
      <c r="N13" s="1195"/>
      <c r="O13" s="1195"/>
      <c r="P13" s="1195"/>
      <c r="Q13" s="1195"/>
    </row>
    <row r="14" spans="1:17">
      <c r="B14" s="1734" t="str">
        <f>"Allocation of PBOP Settlement Amount for "&amp;TCOS!L4&amp;""</f>
        <v>Allocation of PBOP Settlement Amount for 2021</v>
      </c>
      <c r="C14" s="1734"/>
      <c r="D14" s="1196"/>
      <c r="E14" s="1196"/>
      <c r="F14" s="1196"/>
      <c r="G14" s="1196"/>
      <c r="H14" s="1196"/>
      <c r="I14" s="1196"/>
      <c r="J14" s="1196"/>
      <c r="K14" s="1196"/>
      <c r="L14" s="1196"/>
      <c r="M14" s="1196"/>
      <c r="N14" s="1195"/>
      <c r="O14" s="1195"/>
      <c r="P14" s="1195"/>
      <c r="Q14" s="1195"/>
    </row>
    <row r="15" spans="1:17">
      <c r="C15" s="1737" t="s">
        <v>824</v>
      </c>
      <c r="D15" s="1737"/>
      <c r="E15" s="1737"/>
      <c r="F15" s="1194"/>
      <c r="N15" s="1195"/>
      <c r="O15" s="1195"/>
      <c r="P15" s="1195"/>
      <c r="Q15" s="1195"/>
    </row>
    <row r="16" spans="1:17">
      <c r="B16" s="1207"/>
      <c r="C16" s="1738" t="s">
        <v>825</v>
      </c>
      <c r="D16" s="1738" t="s">
        <v>826</v>
      </c>
      <c r="E16" s="1738" t="s">
        <v>827</v>
      </c>
      <c r="F16" s="1220"/>
      <c r="G16" s="1220"/>
      <c r="H16" s="1220"/>
      <c r="I16" s="1738" t="s">
        <v>828</v>
      </c>
      <c r="N16" s="1195"/>
      <c r="O16" s="1195"/>
      <c r="P16" s="1195"/>
      <c r="Q16" s="1195"/>
    </row>
    <row r="17" spans="1:17" ht="12.75" customHeight="1">
      <c r="C17" s="1735"/>
      <c r="D17" s="1735"/>
      <c r="E17" s="1735"/>
      <c r="F17" s="1738" t="str">
        <f>"Labor Allocator for "&amp;TCOS!L4&amp;""</f>
        <v>Labor Allocator for 2021</v>
      </c>
      <c r="G17" s="1223"/>
      <c r="H17" s="1739" t="s">
        <v>829</v>
      </c>
      <c r="I17" s="1738"/>
      <c r="N17" s="1195"/>
      <c r="O17" s="1195"/>
      <c r="P17" s="1195"/>
      <c r="Q17" s="1195"/>
    </row>
    <row r="18" spans="1:17">
      <c r="A18" s="1197" t="s">
        <v>830</v>
      </c>
      <c r="B18" s="1194" t="s">
        <v>183</v>
      </c>
      <c r="C18" s="1735"/>
      <c r="D18" s="1735"/>
      <c r="E18" s="1735"/>
      <c r="F18" s="1738"/>
      <c r="G18" s="1225" t="s">
        <v>831</v>
      </c>
      <c r="H18" s="1739"/>
      <c r="I18" s="1738"/>
      <c r="N18" s="1195"/>
      <c r="O18" s="1195"/>
      <c r="P18" s="1195"/>
      <c r="Q18" s="1195"/>
    </row>
    <row r="19" spans="1:17">
      <c r="B19" s="1194"/>
      <c r="C19" s="1206"/>
      <c r="D19" s="1206"/>
      <c r="E19" s="1206"/>
      <c r="F19" s="1220"/>
      <c r="G19" s="1223"/>
      <c r="H19" s="1223"/>
      <c r="I19" s="1206"/>
      <c r="N19" s="1195"/>
      <c r="O19" s="1195"/>
      <c r="P19" s="1195"/>
      <c r="Q19" s="1195"/>
    </row>
    <row r="20" spans="1:17">
      <c r="B20" s="1194"/>
      <c r="C20" s="1220" t="s">
        <v>162</v>
      </c>
      <c r="D20" s="1220" t="s">
        <v>832</v>
      </c>
      <c r="E20" s="1221" t="str">
        <f>"(C )=(B) * "&amp;E12&amp;""</f>
        <v>(C )=(B) * 52287952</v>
      </c>
      <c r="F20" s="1220" t="s">
        <v>165</v>
      </c>
      <c r="G20" s="1226" t="s">
        <v>833</v>
      </c>
      <c r="H20" s="1226" t="s">
        <v>834</v>
      </c>
      <c r="I20" s="1221" t="s">
        <v>835</v>
      </c>
      <c r="N20" s="1195"/>
      <c r="O20" s="1195"/>
      <c r="P20" s="1195"/>
      <c r="Q20" s="1195"/>
    </row>
    <row r="21" spans="1:17">
      <c r="B21" s="1194"/>
      <c r="C21" s="1220" t="str">
        <f>"(Line "&amp;A47&amp;")"</f>
        <v>(Line 14)</v>
      </c>
      <c r="D21" s="1220"/>
      <c r="E21" s="1221"/>
      <c r="F21" s="1220"/>
      <c r="G21" s="1223"/>
      <c r="H21" s="1224"/>
      <c r="I21" s="1221"/>
      <c r="N21" s="1195"/>
      <c r="O21" s="1195"/>
      <c r="P21" s="1195"/>
      <c r="Q21" s="1195"/>
    </row>
    <row r="22" spans="1:17">
      <c r="A22" s="1184">
        <v>2</v>
      </c>
      <c r="B22" s="1184" t="s">
        <v>836</v>
      </c>
      <c r="C22" s="1293">
        <f>D47</f>
        <v>-23618642.246970028</v>
      </c>
      <c r="D22" s="1227">
        <f t="shared" ref="D22:D27" si="0">+C22/C$28</f>
        <v>0.35955569560266143</v>
      </c>
      <c r="E22" s="1205">
        <f t="shared" ref="E22:E27" si="1">ROUND(D22*E$28,0)</f>
        <v>18800431</v>
      </c>
      <c r="F22" s="1564">
        <v>0.10673745715142353</v>
      </c>
      <c r="G22" s="1223">
        <f t="shared" ref="G22" si="2">+C22*F22</f>
        <v>-2520993.814810765</v>
      </c>
      <c r="H22" s="1223">
        <f t="shared" ref="H22" si="3">+F22*E22</f>
        <v>2006710.1982907946</v>
      </c>
      <c r="I22" s="1205">
        <f t="shared" ref="I22" si="4">+G22-H22</f>
        <v>-4527704.0131015591</v>
      </c>
      <c r="N22" s="1195"/>
      <c r="O22" s="1195"/>
      <c r="P22" s="1195"/>
      <c r="Q22" s="1195"/>
    </row>
    <row r="23" spans="1:17">
      <c r="A23" s="1184">
        <f t="shared" ref="A23:A28" si="5">+A22+1</f>
        <v>3</v>
      </c>
      <c r="B23" s="1184" t="s">
        <v>837</v>
      </c>
      <c r="C23" s="1293">
        <f>F47</f>
        <v>-17706524.505577467</v>
      </c>
      <c r="D23" s="1227">
        <f t="shared" si="0"/>
        <v>0.26955324818153825</v>
      </c>
      <c r="E23" s="1205">
        <f t="shared" si="1"/>
        <v>14094387</v>
      </c>
      <c r="F23" s="1564">
        <v>4.9222410994021332E-2</v>
      </c>
      <c r="G23" s="1223">
        <f t="shared" ref="G23:G27" si="6">+C23*F23</f>
        <v>-871557.82648924447</v>
      </c>
      <c r="H23" s="1223">
        <f t="shared" ref="H23:H27" si="7">+F23*E23</f>
        <v>693759.70962279139</v>
      </c>
      <c r="I23" s="1205">
        <f t="shared" ref="I23:I27" si="8">+G23-H23</f>
        <v>-1565317.5361120359</v>
      </c>
      <c r="N23" s="1195"/>
      <c r="O23" s="1195"/>
      <c r="P23" s="1195"/>
      <c r="Q23" s="1195"/>
    </row>
    <row r="24" spans="1:17">
      <c r="A24" s="1184">
        <f t="shared" si="5"/>
        <v>4</v>
      </c>
      <c r="B24" s="1184" t="s">
        <v>838</v>
      </c>
      <c r="C24" s="1293">
        <f>G47</f>
        <v>-5480767.1729904059</v>
      </c>
      <c r="D24" s="1227">
        <f t="shared" si="0"/>
        <v>8.3435831438346361E-2</v>
      </c>
      <c r="E24" s="1205">
        <f t="shared" si="1"/>
        <v>4362689</v>
      </c>
      <c r="F24" s="1564">
        <v>9.8028080205860374E-2</v>
      </c>
      <c r="G24" s="1223">
        <f t="shared" si="6"/>
        <v>-537269.08402355015</v>
      </c>
      <c r="H24" s="1223">
        <f t="shared" si="7"/>
        <v>427666.02720522479</v>
      </c>
      <c r="I24" s="1205">
        <f t="shared" si="8"/>
        <v>-964935.111228775</v>
      </c>
      <c r="N24" s="1195"/>
      <c r="O24" s="1195"/>
      <c r="P24" s="1195"/>
      <c r="Q24" s="1195"/>
    </row>
    <row r="25" spans="1:17">
      <c r="A25" s="1184">
        <f t="shared" si="5"/>
        <v>5</v>
      </c>
      <c r="B25" s="1184" t="s">
        <v>839</v>
      </c>
      <c r="C25" s="1293">
        <f>H47</f>
        <v>-551450.12835270888</v>
      </c>
      <c r="D25" s="1227">
        <f t="shared" si="0"/>
        <v>8.3949378807103778E-3</v>
      </c>
      <c r="E25" s="1205">
        <f t="shared" si="1"/>
        <v>438954</v>
      </c>
      <c r="F25" s="1564">
        <v>0.10628793494571442</v>
      </c>
      <c r="G25" s="1223">
        <f t="shared" si="6"/>
        <v>-58612.49536815859</v>
      </c>
      <c r="H25" s="1223">
        <f t="shared" si="7"/>
        <v>46655.51419616113</v>
      </c>
      <c r="I25" s="1205">
        <f t="shared" si="8"/>
        <v>-105268.00956431971</v>
      </c>
      <c r="N25" s="1195"/>
      <c r="O25" s="1195"/>
      <c r="P25" s="1195"/>
      <c r="Q25" s="1195"/>
    </row>
    <row r="26" spans="1:17">
      <c r="A26" s="1184">
        <f t="shared" si="5"/>
        <v>6</v>
      </c>
      <c r="B26" s="1184" t="s">
        <v>840</v>
      </c>
      <c r="C26" s="1293">
        <f>I47</f>
        <v>-17282862.215044636</v>
      </c>
      <c r="D26" s="1227">
        <f t="shared" si="0"/>
        <v>0.26310367381649657</v>
      </c>
      <c r="E26" s="1205">
        <f t="shared" si="1"/>
        <v>13757152</v>
      </c>
      <c r="F26" s="1564">
        <v>0.12769052594773625</v>
      </c>
      <c r="G26" s="1223">
        <f t="shared" si="6"/>
        <v>-2206857.7661213074</v>
      </c>
      <c r="H26" s="1223">
        <f t="shared" si="7"/>
        <v>1756657.9744229517</v>
      </c>
      <c r="I26" s="1205">
        <f t="shared" si="8"/>
        <v>-3963515.7405442591</v>
      </c>
      <c r="N26" s="1195"/>
      <c r="O26" s="1195"/>
      <c r="P26" s="1195"/>
      <c r="Q26" s="1195"/>
    </row>
    <row r="27" spans="1:17">
      <c r="A27" s="1184">
        <f t="shared" si="5"/>
        <v>7</v>
      </c>
      <c r="B27" s="1184" t="s">
        <v>841</v>
      </c>
      <c r="C27" s="1299">
        <f>J47</f>
        <v>-1048164.5553799038</v>
      </c>
      <c r="D27" s="1227">
        <f t="shared" si="0"/>
        <v>1.595661308024697E-2</v>
      </c>
      <c r="E27" s="1228">
        <f t="shared" si="1"/>
        <v>834339</v>
      </c>
      <c r="F27" s="1565">
        <v>2.8640860365162925E-2</v>
      </c>
      <c r="G27" s="1229">
        <f t="shared" si="6"/>
        <v>-30020.334670348904</v>
      </c>
      <c r="H27" s="1229">
        <f t="shared" si="7"/>
        <v>23896.186796209669</v>
      </c>
      <c r="I27" s="1228">
        <f t="shared" si="8"/>
        <v>-53916.521466558574</v>
      </c>
      <c r="N27" s="1195"/>
      <c r="O27" s="1195"/>
      <c r="P27" s="1195"/>
      <c r="Q27" s="1195"/>
    </row>
    <row r="28" spans="1:17">
      <c r="A28" s="1184">
        <f t="shared" si="5"/>
        <v>8</v>
      </c>
      <c r="B28" s="1194" t="str">
        <f>"Sum of Lines "&amp;A22&amp;" to "&amp;A27&amp;""</f>
        <v>Sum of Lines 2 to 7</v>
      </c>
      <c r="C28" s="1205">
        <f>SUM(C22:C27)</f>
        <v>-65688410.824315153</v>
      </c>
      <c r="E28" s="1223">
        <f>+E12</f>
        <v>52287952</v>
      </c>
      <c r="F28" s="1223"/>
      <c r="G28" s="1223">
        <f>SUM(G22:G27)</f>
        <v>-6225311.3214833746</v>
      </c>
      <c r="H28" s="1223">
        <f>SUM(H22:H27)</f>
        <v>4955345.6105341334</v>
      </c>
      <c r="I28" s="1223">
        <f>SUM(I22:I27)</f>
        <v>-11180656.932017507</v>
      </c>
      <c r="N28" s="1195"/>
      <c r="O28" s="1195"/>
      <c r="P28" s="1195"/>
      <c r="Q28" s="1195"/>
    </row>
    <row r="29" spans="1:17">
      <c r="C29" s="1205"/>
      <c r="N29" s="1195"/>
      <c r="O29" s="1195"/>
      <c r="P29" s="1195"/>
      <c r="Q29" s="1195"/>
    </row>
    <row r="30" spans="1:17">
      <c r="I30" s="1207"/>
      <c r="N30" s="1195"/>
      <c r="O30" s="1195"/>
      <c r="P30" s="1195"/>
      <c r="Q30" s="1195"/>
    </row>
    <row r="31" spans="1:17">
      <c r="I31" s="1207"/>
      <c r="J31" s="1195"/>
      <c r="K31" s="1195"/>
      <c r="L31" s="1195"/>
      <c r="M31" s="1195"/>
      <c r="N31" s="1195"/>
      <c r="O31" s="1195"/>
      <c r="P31" s="1195"/>
      <c r="Q31" s="1195"/>
    </row>
    <row r="32" spans="1:17">
      <c r="I32" s="1207"/>
      <c r="J32" s="1195"/>
      <c r="K32" s="1195"/>
      <c r="L32" s="1195"/>
      <c r="M32" s="1195"/>
      <c r="N32" s="1195"/>
      <c r="O32" s="1195"/>
      <c r="P32" s="1195"/>
      <c r="Q32" s="1195"/>
    </row>
    <row r="33" spans="1:17">
      <c r="B33" s="1197" t="s">
        <v>850</v>
      </c>
      <c r="F33" s="1198"/>
      <c r="I33" s="1207"/>
      <c r="J33" s="1195"/>
      <c r="K33" s="1195"/>
      <c r="L33" s="1195"/>
      <c r="M33" s="1195"/>
      <c r="N33" s="1195"/>
      <c r="O33" s="1195"/>
      <c r="P33" s="1195"/>
      <c r="Q33" s="1195"/>
    </row>
    <row r="34" spans="1:17">
      <c r="E34" s="1198"/>
      <c r="I34" s="1199"/>
      <c r="J34" s="1195"/>
      <c r="K34" s="1195"/>
      <c r="L34" s="1195"/>
      <c r="M34" s="1195"/>
      <c r="N34" s="1195"/>
      <c r="O34" s="1195"/>
      <c r="P34" s="1195"/>
      <c r="Q34" s="1195"/>
    </row>
    <row r="35" spans="1:17">
      <c r="D35" s="1200" t="s">
        <v>836</v>
      </c>
      <c r="E35" s="1201"/>
      <c r="F35" s="1200" t="s">
        <v>837</v>
      </c>
      <c r="G35" s="1200" t="s">
        <v>838</v>
      </c>
      <c r="H35" s="1200" t="s">
        <v>842</v>
      </c>
      <c r="I35" s="1202" t="s">
        <v>840</v>
      </c>
      <c r="J35" s="1202" t="s">
        <v>841</v>
      </c>
      <c r="K35" s="1202" t="s">
        <v>843</v>
      </c>
      <c r="L35" s="1195"/>
      <c r="M35" s="1195"/>
      <c r="N35" s="1195"/>
      <c r="O35" s="1195"/>
      <c r="P35" s="1195"/>
      <c r="Q35" s="1195"/>
    </row>
    <row r="36" spans="1:17">
      <c r="E36" s="1203"/>
      <c r="I36" s="1195"/>
      <c r="J36" s="1195"/>
      <c r="K36" s="1195"/>
      <c r="L36" s="1195"/>
      <c r="M36" s="1195"/>
      <c r="N36" s="1195"/>
      <c r="O36" s="1195"/>
      <c r="P36" s="1195"/>
      <c r="Q36" s="1195"/>
    </row>
    <row r="37" spans="1:17">
      <c r="A37" s="1184">
        <f>+A28+1</f>
        <v>9</v>
      </c>
      <c r="B37" s="1184" t="s">
        <v>844</v>
      </c>
      <c r="D37" s="1553">
        <v>-18515130</v>
      </c>
      <c r="E37" s="1554"/>
      <c r="F37" s="1553">
        <v>-15962872</v>
      </c>
      <c r="G37" s="1553">
        <v>-4599013</v>
      </c>
      <c r="H37" s="1553">
        <v>-411310</v>
      </c>
      <c r="I37" s="1553">
        <v>-12990946</v>
      </c>
      <c r="J37" s="1553">
        <v>-492981</v>
      </c>
      <c r="K37" s="1204">
        <f>SUM(D37:J37)</f>
        <v>-52972252</v>
      </c>
      <c r="L37" s="1195" t="s">
        <v>114</v>
      </c>
      <c r="M37" s="1195"/>
      <c r="N37" s="1195"/>
      <c r="O37" s="1195"/>
      <c r="P37" s="1195"/>
      <c r="Q37" s="1195"/>
    </row>
    <row r="38" spans="1:17">
      <c r="D38" s="1205"/>
      <c r="E38" s="1203"/>
      <c r="F38" s="1205"/>
      <c r="G38" s="1205"/>
      <c r="H38" s="1205"/>
      <c r="I38" s="1205"/>
      <c r="J38" s="1205"/>
    </row>
    <row r="39" spans="1:17">
      <c r="A39" s="1184">
        <f>+A37+1</f>
        <v>10</v>
      </c>
      <c r="B39" s="1735" t="s">
        <v>845</v>
      </c>
      <c r="C39" s="1735"/>
      <c r="D39" s="1553">
        <v>567302.55599999428</v>
      </c>
      <c r="E39" s="1554"/>
      <c r="F39" s="1553">
        <v>2049361.3600000013</v>
      </c>
      <c r="G39" s="1553">
        <v>482738.54999999749</v>
      </c>
      <c r="H39" s="1553">
        <v>2.9999999853316694E-2</v>
      </c>
      <c r="I39" s="1553">
        <v>-5.9999998658895493E-2</v>
      </c>
      <c r="J39" s="1553">
        <v>-440208.57999999973</v>
      </c>
      <c r="K39" s="1204"/>
      <c r="L39" s="1195"/>
      <c r="M39" s="1195"/>
      <c r="N39" s="1195"/>
      <c r="O39" s="1195"/>
      <c r="P39" s="1195"/>
      <c r="Q39" s="1195"/>
    </row>
    <row r="40" spans="1:17">
      <c r="B40" s="1735"/>
      <c r="C40" s="1735"/>
      <c r="D40" s="1198"/>
      <c r="E40" s="1203"/>
      <c r="F40" s="1198"/>
      <c r="G40" s="1198"/>
      <c r="H40" s="1198"/>
      <c r="I40" s="1198"/>
      <c r="J40" s="1198"/>
      <c r="K40" s="1207"/>
      <c r="L40" s="1195"/>
      <c r="M40" s="1195"/>
      <c r="N40" s="1195"/>
      <c r="O40" s="1195"/>
      <c r="P40" s="1195"/>
      <c r="Q40" s="1195"/>
    </row>
    <row r="41" spans="1:17">
      <c r="A41" s="1184">
        <f>+A39+1</f>
        <v>11</v>
      </c>
      <c r="B41" s="1184" t="s">
        <v>846</v>
      </c>
      <c r="D41" s="1553"/>
      <c r="E41" s="1554"/>
      <c r="F41" s="1553"/>
      <c r="G41" s="1553"/>
      <c r="H41" s="1553"/>
      <c r="I41" s="1553"/>
      <c r="J41" s="1553"/>
      <c r="K41" s="1204">
        <f>SUM(D41:J41)</f>
        <v>0</v>
      </c>
      <c r="L41" s="1195"/>
      <c r="M41" s="1195"/>
      <c r="N41" s="1195"/>
      <c r="O41" s="1195"/>
      <c r="P41" s="1195"/>
      <c r="Q41" s="1195"/>
    </row>
    <row r="42" spans="1:17">
      <c r="D42" s="1208"/>
      <c r="E42" s="1209"/>
      <c r="F42" s="1208"/>
      <c r="G42" s="1208"/>
      <c r="H42" s="1208"/>
      <c r="I42" s="1210"/>
      <c r="J42" s="1210"/>
      <c r="K42" s="1211"/>
      <c r="L42" s="1195"/>
      <c r="M42" s="1195"/>
      <c r="N42" s="1195"/>
      <c r="O42" s="1195"/>
      <c r="P42" s="1195"/>
      <c r="Q42" s="1195"/>
    </row>
    <row r="43" spans="1:17">
      <c r="A43" s="1184">
        <f>+A41+1</f>
        <v>12</v>
      </c>
      <c r="B43" s="1184" t="str">
        <f>"Net Company Expense (Ln "&amp;A37&amp;" + Ln "&amp;A39&amp;" + Ln  "&amp;A41&amp;")"</f>
        <v>Net Company Expense (Ln 9 + Ln 10 + Ln  11)</v>
      </c>
      <c r="D43" s="1198">
        <f t="shared" ref="D43:J43" si="9">+D37+D41+D39</f>
        <v>-17947827.444000006</v>
      </c>
      <c r="E43" s="1212"/>
      <c r="F43" s="1198">
        <f t="shared" si="9"/>
        <v>-13913510.639999999</v>
      </c>
      <c r="G43" s="1198">
        <f t="shared" si="9"/>
        <v>-4116274.4500000025</v>
      </c>
      <c r="H43" s="1198">
        <f t="shared" si="9"/>
        <v>-411309.97000000015</v>
      </c>
      <c r="I43" s="1198">
        <f t="shared" si="9"/>
        <v>-12990946.059999999</v>
      </c>
      <c r="J43" s="1198">
        <f t="shared" si="9"/>
        <v>-933189.57999999973</v>
      </c>
      <c r="K43" s="1204">
        <f>SUM(D43:J43)</f>
        <v>-50313058.144000009</v>
      </c>
      <c r="L43" s="1195"/>
      <c r="M43" s="1195"/>
      <c r="N43" s="1195"/>
      <c r="O43" s="1195"/>
      <c r="P43" s="1195"/>
      <c r="Q43" s="1195"/>
    </row>
    <row r="44" spans="1:17">
      <c r="E44" s="1203"/>
      <c r="G44" s="1198">
        <f>+G40+G42</f>
        <v>0</v>
      </c>
      <c r="I44" s="1195"/>
      <c r="J44" s="1195"/>
      <c r="K44" s="1207"/>
      <c r="L44" s="1213"/>
      <c r="M44" s="1195"/>
      <c r="N44" s="1195"/>
      <c r="O44" s="1195"/>
      <c r="P44" s="1195"/>
      <c r="Q44" s="1195"/>
    </row>
    <row r="45" spans="1:17">
      <c r="A45" s="1184">
        <f>+A43+1</f>
        <v>13</v>
      </c>
      <c r="B45" s="1735" t="s">
        <v>847</v>
      </c>
      <c r="C45" s="1735"/>
      <c r="D45" s="1553">
        <v>-5670814.8029700238</v>
      </c>
      <c r="E45" s="1554"/>
      <c r="F45" s="1553">
        <v>-3793013.8655774686</v>
      </c>
      <c r="G45" s="1553">
        <v>-1364492.7229904039</v>
      </c>
      <c r="H45" s="1553">
        <v>-140140.15835270868</v>
      </c>
      <c r="I45" s="1553">
        <v>-4291916.1550446386</v>
      </c>
      <c r="J45" s="1553">
        <v>-114974.97537990402</v>
      </c>
      <c r="K45" s="1204">
        <f>SUM(D45:J45)</f>
        <v>-15375352.68031515</v>
      </c>
      <c r="L45" s="1214" t="s">
        <v>114</v>
      </c>
      <c r="M45" s="1195"/>
      <c r="N45" s="1195"/>
      <c r="O45" s="1195"/>
      <c r="P45" s="1195"/>
      <c r="Q45" s="1195"/>
    </row>
    <row r="46" spans="1:17">
      <c r="B46" s="1735"/>
      <c r="C46" s="1735"/>
      <c r="D46" s="1215"/>
      <c r="E46" s="1203"/>
      <c r="I46" s="1195"/>
      <c r="J46" s="1195"/>
      <c r="K46" s="1207"/>
      <c r="L46" s="1195"/>
      <c r="M46" s="1195"/>
      <c r="N46" s="1195"/>
      <c r="O46" s="1195"/>
      <c r="P46" s="1195"/>
      <c r="Q46" s="1195"/>
    </row>
    <row r="47" spans="1:17" ht="13.5" thickBot="1">
      <c r="A47" s="1184">
        <f>+A45+1</f>
        <v>14</v>
      </c>
      <c r="B47" s="1184" t="str">
        <f>"Company PBOP Expense (Ln "&amp;A43&amp;" + Ln  "&amp;A45&amp;")"</f>
        <v>Company PBOP Expense (Ln 12 + Ln  13)</v>
      </c>
      <c r="D47" s="1216">
        <f>+D45+D41+D39+D37</f>
        <v>-23618642.246970028</v>
      </c>
      <c r="E47" s="1217"/>
      <c r="F47" s="1216">
        <f>+F45+F41+F39+F37</f>
        <v>-17706524.505577467</v>
      </c>
      <c r="G47" s="1216">
        <f>+G45+G41+G39+G37</f>
        <v>-5480767.1729904059</v>
      </c>
      <c r="H47" s="1216">
        <f>+H45+H41+H39+H37</f>
        <v>-551450.12835270888</v>
      </c>
      <c r="I47" s="1216">
        <f>+I45+I41+I39+I37</f>
        <v>-17282862.215044636</v>
      </c>
      <c r="J47" s="1216">
        <f>+J45+J41+J39+J37</f>
        <v>-1048164.5553799038</v>
      </c>
      <c r="K47" s="1218">
        <f>SUM(D47:J47)</f>
        <v>-65688410.824315153</v>
      </c>
      <c r="L47" s="1195"/>
      <c r="M47" s="1195"/>
      <c r="N47" s="1195"/>
      <c r="O47" s="1195"/>
      <c r="P47" s="1195"/>
      <c r="Q47" s="1195"/>
    </row>
    <row r="48" spans="1:17" ht="13.5" thickTop="1">
      <c r="I48" s="1195"/>
      <c r="J48" s="1195"/>
      <c r="K48" s="1195"/>
      <c r="L48" s="1195"/>
      <c r="M48" s="1195"/>
      <c r="N48" s="1195"/>
      <c r="O48" s="1195"/>
      <c r="P48" s="1195"/>
      <c r="Q48" s="1195"/>
    </row>
    <row r="49" spans="1:17">
      <c r="A49" s="1736" t="s">
        <v>848</v>
      </c>
      <c r="B49" s="1736"/>
      <c r="C49" s="1736"/>
      <c r="D49" s="1736"/>
      <c r="E49" s="1736"/>
      <c r="F49" s="1736"/>
      <c r="G49" s="1736"/>
      <c r="H49" s="1736"/>
      <c r="I49" s="1736"/>
      <c r="J49" s="1736"/>
      <c r="K49" s="1736"/>
      <c r="L49" s="1219"/>
      <c r="M49" s="1195"/>
      <c r="N49" s="1195"/>
      <c r="O49" s="1195"/>
      <c r="P49" s="1195"/>
      <c r="Q49" s="1195"/>
    </row>
    <row r="50" spans="1:17">
      <c r="A50" s="1736"/>
      <c r="B50" s="1736"/>
      <c r="C50" s="1736"/>
      <c r="D50" s="1736"/>
      <c r="E50" s="1736"/>
      <c r="F50" s="1736"/>
      <c r="G50" s="1736"/>
      <c r="H50" s="1736"/>
      <c r="I50" s="1736"/>
      <c r="J50" s="1736"/>
      <c r="K50" s="1736"/>
      <c r="L50" s="1195"/>
      <c r="M50" s="1195"/>
      <c r="N50" s="1195"/>
      <c r="O50" s="1195"/>
      <c r="P50" s="1195"/>
      <c r="Q50" s="1195"/>
    </row>
    <row r="51" spans="1:17">
      <c r="A51" s="1736"/>
      <c r="B51" s="1736"/>
      <c r="C51" s="1736"/>
      <c r="D51" s="1736"/>
      <c r="E51" s="1736"/>
      <c r="F51" s="1736"/>
      <c r="G51" s="1736"/>
      <c r="H51" s="1736"/>
      <c r="I51" s="1736"/>
      <c r="J51" s="1736"/>
      <c r="K51" s="1736"/>
      <c r="L51" s="1195"/>
      <c r="M51" s="1195"/>
      <c r="N51" s="1195"/>
      <c r="O51" s="1195"/>
      <c r="P51" s="1195"/>
      <c r="Q51" s="1195"/>
    </row>
    <row r="52" spans="1:17">
      <c r="A52" s="1736"/>
      <c r="B52" s="1736"/>
      <c r="C52" s="1736"/>
      <c r="D52" s="1736"/>
      <c r="E52" s="1736"/>
      <c r="F52" s="1736"/>
      <c r="G52" s="1736"/>
      <c r="H52" s="1736"/>
      <c r="I52" s="1736"/>
      <c r="J52" s="1736"/>
      <c r="K52" s="1736"/>
      <c r="Q52" s="1195"/>
    </row>
    <row r="53" spans="1:17">
      <c r="A53" s="1736"/>
      <c r="B53" s="1736"/>
      <c r="C53" s="1736"/>
      <c r="D53" s="1736"/>
      <c r="E53" s="1736"/>
      <c r="F53" s="1736"/>
      <c r="G53" s="1736"/>
      <c r="H53" s="1736"/>
      <c r="I53" s="1736"/>
      <c r="J53" s="1736"/>
      <c r="K53" s="1736"/>
      <c r="Q53" s="1195"/>
    </row>
    <row r="54" spans="1:17">
      <c r="A54" s="1736"/>
      <c r="B54" s="1736"/>
      <c r="C54" s="1736"/>
      <c r="D54" s="1736"/>
      <c r="E54" s="1736"/>
      <c r="F54" s="1736"/>
      <c r="G54" s="1736"/>
      <c r="H54" s="1736"/>
      <c r="I54" s="1736"/>
      <c r="J54" s="1736"/>
      <c r="K54" s="1736"/>
      <c r="Q54" s="1195"/>
    </row>
    <row r="55" spans="1:17">
      <c r="A55" s="1736"/>
      <c r="B55" s="1736"/>
      <c r="C55" s="1736"/>
      <c r="D55" s="1736"/>
      <c r="E55" s="1736"/>
      <c r="F55" s="1736"/>
      <c r="G55" s="1736"/>
      <c r="H55" s="1736"/>
      <c r="I55" s="1736"/>
      <c r="J55" s="1736"/>
      <c r="K55" s="1736"/>
      <c r="Q55" s="1195"/>
    </row>
    <row r="56" spans="1:17">
      <c r="A56" s="1736"/>
      <c r="B56" s="1736"/>
      <c r="C56" s="1736"/>
      <c r="D56" s="1736"/>
      <c r="E56" s="1736"/>
      <c r="F56" s="1736"/>
      <c r="G56" s="1736"/>
      <c r="H56" s="1736"/>
      <c r="I56" s="1736"/>
      <c r="J56" s="1736"/>
      <c r="K56" s="1736"/>
      <c r="Q56" s="1195"/>
    </row>
    <row r="57" spans="1:17">
      <c r="A57" s="1736"/>
      <c r="B57" s="1736"/>
      <c r="C57" s="1736"/>
      <c r="D57" s="1736"/>
      <c r="E57" s="1736"/>
      <c r="F57" s="1736"/>
      <c r="G57" s="1736"/>
      <c r="H57" s="1736"/>
      <c r="I57" s="1736"/>
      <c r="J57" s="1736"/>
      <c r="K57" s="1736"/>
      <c r="Q57" s="1195"/>
    </row>
    <row r="70" spans="13:13">
      <c r="M70" s="1205"/>
    </row>
    <row r="71" spans="13:13">
      <c r="M71" s="1220"/>
    </row>
    <row r="72" spans="13:13">
      <c r="M72" s="1206"/>
    </row>
    <row r="73" spans="13:13" ht="12.75" customHeight="1">
      <c r="M73" s="1206"/>
    </row>
    <row r="74" spans="13:13">
      <c r="M74" s="1206"/>
    </row>
    <row r="75" spans="13:13">
      <c r="M75" s="1206"/>
    </row>
    <row r="76" spans="13:13">
      <c r="M76" s="1221"/>
    </row>
    <row r="77" spans="13:13">
      <c r="M77" s="1221"/>
    </row>
    <row r="78" spans="13:13">
      <c r="M78" s="1205"/>
    </row>
    <row r="79" spans="13:13">
      <c r="M79" s="1205"/>
    </row>
    <row r="80" spans="13:13">
      <c r="M80" s="1205"/>
    </row>
    <row r="81" spans="13:13">
      <c r="M81" s="1205"/>
    </row>
    <row r="82" spans="13:13">
      <c r="M82" s="1205"/>
    </row>
    <row r="83" spans="13:13">
      <c r="M83" s="1205"/>
    </row>
    <row r="84" spans="13:13">
      <c r="M84" s="1222"/>
    </row>
    <row r="85" spans="13:13">
      <c r="M85" s="1223"/>
    </row>
    <row r="87" spans="13:13">
      <c r="M87" s="1205"/>
    </row>
    <row r="92" spans="13:13">
      <c r="M92" s="1205"/>
    </row>
    <row r="93" spans="13:13">
      <c r="M93" s="1220"/>
    </row>
    <row r="94" spans="13:13">
      <c r="M94" s="1206"/>
    </row>
    <row r="95" spans="13:13" ht="12.75" customHeight="1">
      <c r="M95" s="1206"/>
    </row>
    <row r="96" spans="13:13">
      <c r="M96" s="1206"/>
    </row>
    <row r="97" spans="13:13">
      <c r="M97" s="1206"/>
    </row>
    <row r="98" spans="13:13">
      <c r="M98" s="1221"/>
    </row>
    <row r="99" spans="13:13">
      <c r="M99" s="1221"/>
    </row>
    <row r="100" spans="13:13">
      <c r="M100" s="1205"/>
    </row>
    <row r="101" spans="13:13">
      <c r="M101" s="1205"/>
    </row>
    <row r="102" spans="13:13">
      <c r="M102" s="1205"/>
    </row>
    <row r="103" spans="13:13">
      <c r="M103" s="1205"/>
    </row>
    <row r="104" spans="13:13">
      <c r="M104" s="1205"/>
    </row>
    <row r="105" spans="13:13">
      <c r="M105" s="1205"/>
    </row>
    <row r="106" spans="13:13">
      <c r="M106" s="1222"/>
    </row>
    <row r="107" spans="13:13">
      <c r="M107" s="1223"/>
    </row>
    <row r="109" spans="13:13">
      <c r="M109" s="1205"/>
    </row>
    <row r="114" spans="13:13">
      <c r="M114" s="1205"/>
    </row>
    <row r="115" spans="13:13">
      <c r="M115" s="1220"/>
    </row>
    <row r="116" spans="13:13">
      <c r="M116" s="1206"/>
    </row>
    <row r="117" spans="13:13" ht="12.75" customHeight="1">
      <c r="M117" s="1206"/>
    </row>
    <row r="118" spans="13:13">
      <c r="M118" s="1206"/>
    </row>
    <row r="119" spans="13:13">
      <c r="M119" s="1206"/>
    </row>
    <row r="120" spans="13:13">
      <c r="M120" s="1221"/>
    </row>
    <row r="121" spans="13:13">
      <c r="M121" s="1221"/>
    </row>
    <row r="122" spans="13:13">
      <c r="M122" s="1205"/>
    </row>
    <row r="123" spans="13:13">
      <c r="M123" s="1205"/>
    </row>
    <row r="124" spans="13:13">
      <c r="M124" s="1205"/>
    </row>
    <row r="125" spans="13:13">
      <c r="M125" s="1205"/>
    </row>
    <row r="126" spans="13:13">
      <c r="M126" s="1205"/>
    </row>
    <row r="127" spans="13:13">
      <c r="M127" s="1205"/>
    </row>
    <row r="128" spans="13:13">
      <c r="M128" s="1222"/>
    </row>
    <row r="129" spans="13:13">
      <c r="M129" s="1223"/>
    </row>
    <row r="131" spans="13:13">
      <c r="M131" s="1205"/>
    </row>
    <row r="136" spans="13:13">
      <c r="M136" s="1205"/>
    </row>
    <row r="137" spans="13:13">
      <c r="M137" s="1220"/>
    </row>
    <row r="138" spans="13:13">
      <c r="M138" s="1206"/>
    </row>
    <row r="139" spans="13:13" ht="12.75" customHeight="1">
      <c r="M139" s="1206"/>
    </row>
    <row r="140" spans="13:13">
      <c r="M140" s="1206"/>
    </row>
    <row r="141" spans="13:13">
      <c r="M141" s="1206"/>
    </row>
    <row r="142" spans="13:13">
      <c r="M142" s="1221"/>
    </row>
    <row r="143" spans="13:13">
      <c r="M143" s="1221"/>
    </row>
    <row r="144" spans="13:13">
      <c r="M144" s="1205"/>
    </row>
    <row r="145" spans="13:13">
      <c r="M145" s="1205"/>
    </row>
    <row r="146" spans="13:13">
      <c r="M146" s="1205"/>
    </row>
    <row r="147" spans="13:13">
      <c r="M147" s="1205"/>
    </row>
    <row r="148" spans="13:13">
      <c r="M148" s="1205"/>
    </row>
    <row r="149" spans="13:13">
      <c r="M149" s="1205"/>
    </row>
    <row r="150" spans="13:13">
      <c r="M150" s="1222"/>
    </row>
    <row r="151" spans="13:13">
      <c r="M151" s="1223"/>
    </row>
    <row r="153" spans="13:13">
      <c r="M153" s="1205"/>
    </row>
    <row r="158" spans="13:13">
      <c r="M158" s="1205"/>
    </row>
    <row r="159" spans="13:13">
      <c r="M159" s="1220"/>
    </row>
    <row r="160" spans="13:13" ht="12.75" customHeight="1">
      <c r="M160" s="1206"/>
    </row>
    <row r="161" spans="13:13" ht="12.75" customHeight="1">
      <c r="M161" s="1206"/>
    </row>
    <row r="162" spans="13:13">
      <c r="M162" s="1206"/>
    </row>
    <row r="163" spans="13:13" ht="12.75" customHeight="1">
      <c r="M163" s="1206"/>
    </row>
    <row r="164" spans="13:13">
      <c r="M164" s="1221"/>
    </row>
    <row r="165" spans="13:13">
      <c r="M165" s="1221"/>
    </row>
    <row r="166" spans="13:13">
      <c r="M166" s="1205"/>
    </row>
    <row r="167" spans="13:13">
      <c r="M167" s="1205"/>
    </row>
    <row r="168" spans="13:13">
      <c r="M168" s="1205"/>
    </row>
    <row r="169" spans="13:13">
      <c r="M169" s="1205"/>
    </row>
    <row r="170" spans="13:13">
      <c r="M170" s="1205"/>
    </row>
    <row r="171" spans="13:13">
      <c r="M171" s="1205"/>
    </row>
    <row r="172" spans="13:13">
      <c r="M172" s="1222"/>
    </row>
    <row r="173" spans="13:13">
      <c r="M173" s="1223"/>
    </row>
    <row r="175" spans="13:13">
      <c r="M175" s="1205"/>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0"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8" t="s">
        <v>114</v>
      </c>
      <c r="B1" s="772"/>
      <c r="C1" s="772"/>
      <c r="D1" s="772"/>
      <c r="E1" s="772"/>
      <c r="F1" s="772"/>
      <c r="G1" s="273"/>
      <c r="H1" s="772"/>
      <c r="I1" s="772"/>
      <c r="J1" s="772"/>
      <c r="K1" s="772"/>
      <c r="L1" s="772"/>
      <c r="M1" s="772"/>
      <c r="N1" s="772"/>
      <c r="O1" s="772"/>
      <c r="P1" s="772"/>
      <c r="Q1" s="772"/>
      <c r="R1" s="772"/>
      <c r="S1" s="772"/>
    </row>
    <row r="2" spans="1:19" ht="15.75">
      <c r="A2" s="898" t="s">
        <v>114</v>
      </c>
      <c r="B2" s="772"/>
      <c r="C2" s="772"/>
      <c r="D2" s="772"/>
      <c r="E2" s="772"/>
      <c r="F2" s="772"/>
      <c r="G2" s="273"/>
      <c r="H2" s="772"/>
      <c r="I2" s="772"/>
      <c r="J2" s="772"/>
      <c r="K2" s="772"/>
      <c r="L2" s="772"/>
      <c r="M2" s="772"/>
      <c r="N2" s="772"/>
      <c r="O2" s="772"/>
      <c r="P2" s="772"/>
      <c r="Q2" s="772"/>
      <c r="R2" s="772"/>
      <c r="S2" s="772"/>
    </row>
    <row r="3" spans="1:19" ht="19.5">
      <c r="A3" s="1748" t="s">
        <v>391</v>
      </c>
      <c r="B3" s="1748"/>
      <c r="C3" s="1748"/>
      <c r="D3" s="1748"/>
      <c r="E3" s="1748"/>
      <c r="F3" s="1748"/>
      <c r="G3" s="1748"/>
      <c r="H3" s="1748"/>
      <c r="I3" s="1748"/>
      <c r="J3" s="1748"/>
      <c r="K3" s="1748"/>
      <c r="L3" s="1748"/>
      <c r="M3" s="1748"/>
      <c r="N3" s="1748"/>
      <c r="O3" s="1748"/>
      <c r="P3" s="771"/>
      <c r="Q3" s="771"/>
      <c r="R3" s="771"/>
      <c r="S3" s="771"/>
    </row>
    <row r="4" spans="1:19" ht="19.5">
      <c r="A4" s="1748" t="s">
        <v>392</v>
      </c>
      <c r="B4" s="1748"/>
      <c r="C4" s="1748"/>
      <c r="D4" s="1748"/>
      <c r="E4" s="1748"/>
      <c r="F4" s="1748"/>
      <c r="G4" s="1748"/>
      <c r="H4" s="1748"/>
      <c r="I4" s="1748"/>
      <c r="J4" s="1748"/>
      <c r="K4" s="1748"/>
      <c r="L4" s="1748"/>
      <c r="M4" s="1748"/>
      <c r="N4" s="1748"/>
      <c r="O4" s="1748"/>
      <c r="P4" s="771"/>
      <c r="Q4" s="771"/>
      <c r="R4" s="771"/>
      <c r="S4" s="771"/>
    </row>
    <row r="5" spans="1:19" ht="19.5">
      <c r="A5" s="1748" t="s">
        <v>393</v>
      </c>
      <c r="B5" s="1748"/>
      <c r="C5" s="1748"/>
      <c r="D5" s="1748"/>
      <c r="E5" s="1748"/>
      <c r="F5" s="1748"/>
      <c r="G5" s="1748"/>
      <c r="H5" s="1748"/>
      <c r="I5" s="1748"/>
      <c r="J5" s="1748"/>
      <c r="K5" s="1748"/>
      <c r="L5" s="1748"/>
      <c r="M5" s="1748"/>
      <c r="N5" s="1748"/>
      <c r="O5" s="1748"/>
      <c r="P5" s="771"/>
      <c r="Q5" s="771"/>
      <c r="R5" s="771"/>
      <c r="S5" s="771"/>
    </row>
    <row r="6" spans="1:19" ht="19.5">
      <c r="A6" s="1748" t="s">
        <v>394</v>
      </c>
      <c r="B6" s="1748"/>
      <c r="C6" s="1748"/>
      <c r="D6" s="1748"/>
      <c r="E6" s="1748"/>
      <c r="F6" s="1748"/>
      <c r="G6" s="1748"/>
      <c r="H6" s="1748"/>
      <c r="I6" s="1748"/>
      <c r="J6" s="1748"/>
      <c r="K6" s="1748"/>
      <c r="L6" s="1748"/>
      <c r="M6" s="1748"/>
      <c r="N6" s="1748"/>
      <c r="O6" s="1748"/>
      <c r="P6" s="771"/>
      <c r="Q6" s="771"/>
      <c r="R6" s="771"/>
      <c r="S6" s="771"/>
    </row>
    <row r="7" spans="1:19" ht="19.5">
      <c r="A7" s="1748" t="s">
        <v>1285</v>
      </c>
      <c r="B7" s="1748"/>
      <c r="C7" s="1748"/>
      <c r="D7" s="1748"/>
      <c r="E7" s="1748"/>
      <c r="F7" s="1748"/>
      <c r="G7" s="1748"/>
      <c r="H7" s="1748"/>
      <c r="I7" s="1748"/>
      <c r="J7" s="1748"/>
      <c r="K7" s="1748"/>
      <c r="L7" s="1748"/>
      <c r="M7" s="1748"/>
      <c r="N7" s="1748"/>
      <c r="O7" s="1748"/>
      <c r="P7" s="771"/>
      <c r="Q7" s="771"/>
      <c r="R7" s="771"/>
      <c r="S7" s="771"/>
    </row>
    <row r="8" spans="1:19" ht="19.5">
      <c r="A8" s="1748" t="s">
        <v>395</v>
      </c>
      <c r="B8" s="1748"/>
      <c r="C8" s="1748"/>
      <c r="D8" s="1748"/>
      <c r="E8" s="1748"/>
      <c r="F8" s="1748"/>
      <c r="G8" s="1748"/>
      <c r="H8" s="1748"/>
      <c r="I8" s="1748"/>
      <c r="J8" s="1748"/>
      <c r="K8" s="1748"/>
      <c r="L8" s="1748"/>
      <c r="M8" s="1748"/>
      <c r="N8" s="1748"/>
      <c r="O8" s="1748"/>
      <c r="P8" s="771"/>
      <c r="Q8" s="771"/>
      <c r="R8" s="771"/>
      <c r="S8" s="771"/>
    </row>
    <row r="9" spans="1:19" ht="19.5">
      <c r="A9" s="1749" t="s">
        <v>1389</v>
      </c>
      <c r="B9" s="1748"/>
      <c r="C9" s="1748"/>
      <c r="D9" s="1748"/>
      <c r="E9" s="1748"/>
      <c r="F9" s="1748"/>
      <c r="G9" s="1748"/>
      <c r="H9" s="1748"/>
      <c r="I9" s="1748"/>
      <c r="J9" s="1748"/>
      <c r="K9" s="1748"/>
      <c r="L9" s="1748"/>
      <c r="M9" s="1748"/>
      <c r="N9" s="1748"/>
      <c r="O9" s="1748"/>
      <c r="P9" s="771"/>
      <c r="Q9" s="771"/>
      <c r="R9" s="771"/>
      <c r="S9" s="771"/>
    </row>
    <row r="10" spans="1:19" ht="19.5">
      <c r="A10" s="1750"/>
      <c r="B10" s="1750"/>
      <c r="C10" s="1750"/>
      <c r="D10" s="1750"/>
      <c r="E10" s="1750"/>
      <c r="F10" s="1750"/>
      <c r="G10" s="1750"/>
      <c r="H10" s="1750"/>
      <c r="I10" s="1750"/>
      <c r="J10" s="1750"/>
      <c r="K10" s="1750"/>
      <c r="L10" s="1750"/>
      <c r="M10" s="1750"/>
      <c r="N10" s="1750"/>
      <c r="O10" s="1750"/>
      <c r="P10" s="773"/>
      <c r="Q10" s="773"/>
      <c r="R10" s="773"/>
      <c r="S10" s="773"/>
    </row>
    <row r="11" spans="1:19" ht="15">
      <c r="A11" s="772"/>
      <c r="B11" s="772"/>
      <c r="C11" s="772"/>
      <c r="D11" s="772"/>
      <c r="E11" s="772"/>
      <c r="F11" s="772"/>
      <c r="G11" s="273"/>
      <c r="H11" s="772"/>
      <c r="I11" s="772"/>
      <c r="J11" s="772"/>
      <c r="K11" s="772"/>
      <c r="L11" s="772"/>
      <c r="M11" s="772"/>
      <c r="N11" s="772"/>
      <c r="O11" s="772"/>
      <c r="P11" s="772"/>
      <c r="Q11" s="772"/>
      <c r="R11" s="772"/>
      <c r="S11" s="772"/>
    </row>
    <row r="12" spans="1:19" ht="16.5" thickBot="1">
      <c r="A12" s="774"/>
      <c r="B12" s="774"/>
      <c r="C12" s="1751" t="s">
        <v>597</v>
      </c>
      <c r="D12" s="1751"/>
      <c r="E12" s="1751"/>
      <c r="F12" s="774"/>
      <c r="G12" s="1751" t="s">
        <v>598</v>
      </c>
      <c r="H12" s="1751"/>
      <c r="I12" s="1751"/>
      <c r="J12" s="774"/>
      <c r="K12" s="1751" t="s">
        <v>396</v>
      </c>
      <c r="L12" s="1751"/>
      <c r="M12" s="1751"/>
      <c r="N12" s="774"/>
      <c r="O12" s="1751" t="s">
        <v>599</v>
      </c>
      <c r="P12" s="1751"/>
      <c r="Q12" s="1751"/>
      <c r="R12" s="774"/>
      <c r="S12" s="1361" t="s">
        <v>397</v>
      </c>
    </row>
    <row r="13" spans="1:19" ht="15">
      <c r="A13" s="774"/>
      <c r="B13" s="774"/>
      <c r="C13" s="775" t="s">
        <v>121</v>
      </c>
      <c r="D13" s="776"/>
      <c r="E13" s="776"/>
      <c r="F13" s="776"/>
      <c r="G13" s="777" t="s">
        <v>122</v>
      </c>
      <c r="H13" s="778"/>
      <c r="I13" s="778"/>
      <c r="J13" s="778"/>
      <c r="K13" s="779" t="s">
        <v>123</v>
      </c>
      <c r="L13" s="778"/>
      <c r="M13" s="778"/>
      <c r="N13" s="778"/>
      <c r="O13" s="780" t="s">
        <v>124</v>
      </c>
      <c r="P13" s="778"/>
      <c r="Q13" s="778"/>
      <c r="R13" s="778"/>
      <c r="S13" s="778"/>
    </row>
    <row r="14" spans="1:19" ht="15">
      <c r="A14" s="774"/>
      <c r="B14" s="774"/>
      <c r="C14" s="775" t="s">
        <v>114</v>
      </c>
      <c r="D14" s="776"/>
      <c r="E14" s="775" t="s">
        <v>398</v>
      </c>
      <c r="F14" s="776"/>
      <c r="G14" s="777" t="s">
        <v>600</v>
      </c>
      <c r="H14" s="776"/>
      <c r="I14" s="775" t="s">
        <v>398</v>
      </c>
      <c r="J14" s="776"/>
      <c r="K14" s="772"/>
      <c r="L14" s="776"/>
      <c r="M14" s="775" t="s">
        <v>398</v>
      </c>
      <c r="N14" s="776"/>
      <c r="O14" s="772"/>
      <c r="P14" s="776"/>
      <c r="Q14" s="775" t="s">
        <v>398</v>
      </c>
      <c r="R14" s="776"/>
      <c r="S14" s="775" t="s">
        <v>398</v>
      </c>
    </row>
    <row r="15" spans="1:19" ht="15">
      <c r="A15" s="774"/>
      <c r="B15" s="775" t="s">
        <v>399</v>
      </c>
      <c r="C15" s="775" t="s">
        <v>601</v>
      </c>
      <c r="D15" s="775" t="s">
        <v>400</v>
      </c>
      <c r="E15" s="775" t="s">
        <v>401</v>
      </c>
      <c r="F15" s="776"/>
      <c r="G15" s="777" t="s">
        <v>402</v>
      </c>
      <c r="H15" s="775" t="s">
        <v>400</v>
      </c>
      <c r="I15" s="775" t="s">
        <v>401</v>
      </c>
      <c r="J15" s="776"/>
      <c r="K15" s="775" t="s">
        <v>80</v>
      </c>
      <c r="L15" s="775" t="s">
        <v>400</v>
      </c>
      <c r="M15" s="775" t="s">
        <v>401</v>
      </c>
      <c r="N15" s="776"/>
      <c r="O15" s="775" t="s">
        <v>80</v>
      </c>
      <c r="P15" s="775" t="s">
        <v>400</v>
      </c>
      <c r="Q15" s="775" t="s">
        <v>401</v>
      </c>
      <c r="R15" s="776"/>
      <c r="S15" s="775" t="s">
        <v>401</v>
      </c>
    </row>
    <row r="16" spans="1:19" ht="15">
      <c r="A16" s="775"/>
      <c r="B16" s="775" t="s">
        <v>403</v>
      </c>
      <c r="C16" s="775" t="s">
        <v>404</v>
      </c>
      <c r="D16" s="775" t="s">
        <v>602</v>
      </c>
      <c r="E16" s="775" t="s">
        <v>405</v>
      </c>
      <c r="F16" s="776"/>
      <c r="G16" s="777" t="s">
        <v>404</v>
      </c>
      <c r="H16" s="775" t="s">
        <v>602</v>
      </c>
      <c r="I16" s="775" t="s">
        <v>405</v>
      </c>
      <c r="J16" s="776"/>
      <c r="K16" s="775" t="s">
        <v>404</v>
      </c>
      <c r="L16" s="775" t="s">
        <v>602</v>
      </c>
      <c r="M16" s="775" t="s">
        <v>405</v>
      </c>
      <c r="N16" s="776"/>
      <c r="O16" s="775" t="s">
        <v>404</v>
      </c>
      <c r="P16" s="775" t="s">
        <v>602</v>
      </c>
      <c r="Q16" s="775" t="s">
        <v>405</v>
      </c>
      <c r="R16" s="776"/>
      <c r="S16" s="775" t="s">
        <v>405</v>
      </c>
    </row>
    <row r="17" spans="1:19" ht="15">
      <c r="A17" s="772"/>
      <c r="B17" s="772"/>
      <c r="C17" s="772"/>
      <c r="D17" s="772"/>
      <c r="E17" s="772"/>
      <c r="F17" s="772"/>
      <c r="G17" s="273"/>
      <c r="H17" s="772"/>
      <c r="I17" s="772"/>
      <c r="J17" s="772"/>
      <c r="K17" s="772"/>
      <c r="L17" s="772"/>
      <c r="M17" s="772"/>
      <c r="N17" s="772"/>
      <c r="O17" s="772"/>
      <c r="P17" s="772"/>
      <c r="Q17" s="772"/>
      <c r="R17" s="772"/>
      <c r="S17" s="772"/>
    </row>
    <row r="18" spans="1:19" ht="15.75" thickBot="1">
      <c r="A18" s="781"/>
      <c r="B18" s="774"/>
      <c r="C18" s="267"/>
      <c r="D18" s="774"/>
      <c r="E18" s="774"/>
      <c r="F18" s="774"/>
      <c r="G18" s="267"/>
      <c r="H18" s="774"/>
      <c r="I18" s="774"/>
      <c r="J18" s="774"/>
      <c r="K18" s="308"/>
      <c r="L18" s="774"/>
      <c r="M18" s="774"/>
      <c r="N18" s="774"/>
      <c r="O18" s="308"/>
      <c r="P18" s="774"/>
      <c r="Q18" s="774"/>
      <c r="R18" s="774"/>
      <c r="S18" s="774"/>
    </row>
    <row r="19" spans="1:19" ht="15">
      <c r="A19" s="782" t="s">
        <v>406</v>
      </c>
      <c r="B19" s="783"/>
      <c r="C19" s="268"/>
      <c r="D19" s="269"/>
      <c r="E19" s="270"/>
      <c r="F19" s="783"/>
      <c r="G19" s="268"/>
      <c r="H19" s="271"/>
      <c r="I19" s="270"/>
      <c r="J19" s="783"/>
      <c r="K19" s="783"/>
      <c r="L19" s="271"/>
      <c r="M19" s="270"/>
      <c r="N19" s="783"/>
      <c r="O19" s="783"/>
      <c r="P19" s="269"/>
      <c r="Q19" s="270"/>
      <c r="R19" s="783"/>
      <c r="S19" s="270"/>
    </row>
    <row r="20" spans="1:19" ht="15">
      <c r="A20" s="784" t="s">
        <v>603</v>
      </c>
      <c r="B20" s="272">
        <v>350.1</v>
      </c>
      <c r="C20" s="267">
        <v>6.5839999999999996E-3</v>
      </c>
      <c r="D20" s="309">
        <v>1</v>
      </c>
      <c r="E20" s="267">
        <f>ROUND((C20*D20),4)</f>
        <v>6.6E-3</v>
      </c>
      <c r="F20" s="785"/>
      <c r="G20" s="267"/>
      <c r="H20" s="310"/>
      <c r="I20" s="273"/>
      <c r="J20" s="785"/>
      <c r="K20" s="267"/>
      <c r="L20" s="310"/>
      <c r="M20" s="311"/>
      <c r="N20" s="785"/>
      <c r="O20" s="267"/>
      <c r="P20" s="309"/>
      <c r="Q20" s="311"/>
      <c r="R20" s="785"/>
      <c r="S20" s="267">
        <f>ROUND((((E20+I20)+M20)+Q20),4)</f>
        <v>6.6E-3</v>
      </c>
    </row>
    <row r="21" spans="1:19" ht="15">
      <c r="A21" s="784" t="s">
        <v>604</v>
      </c>
      <c r="B21" s="272">
        <v>351</v>
      </c>
      <c r="C21" s="267"/>
      <c r="D21" s="309"/>
      <c r="E21" s="267"/>
      <c r="F21" s="785"/>
      <c r="G21" s="267">
        <v>0.14219999999999999</v>
      </c>
      <c r="H21" s="310">
        <v>1</v>
      </c>
      <c r="I21" s="267">
        <f>ROUND((G21*H21),4)</f>
        <v>0.14219999999999999</v>
      </c>
      <c r="J21" s="785"/>
      <c r="K21" s="267"/>
      <c r="L21" s="310"/>
      <c r="M21" s="311"/>
      <c r="N21" s="785"/>
      <c r="O21" s="267"/>
      <c r="P21" s="309"/>
      <c r="Q21" s="311"/>
      <c r="R21" s="785"/>
      <c r="S21" s="267">
        <f>I21</f>
        <v>0.14219999999999999</v>
      </c>
    </row>
    <row r="22" spans="1:19" ht="15">
      <c r="A22" s="786" t="s">
        <v>407</v>
      </c>
      <c r="B22" s="272">
        <v>352</v>
      </c>
      <c r="C22" s="267">
        <v>1.9900000000000001E-2</v>
      </c>
      <c r="D22" s="274">
        <v>0.49482100000000001</v>
      </c>
      <c r="E22" s="267">
        <f t="shared" ref="E22:E28" si="0">ROUND((C22*D22),4)</f>
        <v>9.7999999999999997E-3</v>
      </c>
      <c r="F22" s="785"/>
      <c r="G22" s="267">
        <v>1.6199999999999999E-2</v>
      </c>
      <c r="H22" s="274">
        <v>0.41108299999999998</v>
      </c>
      <c r="I22" s="267">
        <f t="shared" ref="I22:I28" si="1">ROUND((G22*H22),4)</f>
        <v>6.7000000000000002E-3</v>
      </c>
      <c r="J22" s="785"/>
      <c r="K22" s="267">
        <v>2.1899999999999999E-2</v>
      </c>
      <c r="L22" s="274">
        <v>3.6533000000000003E-2</v>
      </c>
      <c r="M22" s="267">
        <f t="shared" ref="M22:M28" si="2">ROUND((K22*L22),4)</f>
        <v>8.0000000000000004E-4</v>
      </c>
      <c r="N22" s="785"/>
      <c r="O22" s="267">
        <v>2.1899999999999999E-2</v>
      </c>
      <c r="P22" s="274">
        <v>5.7563000000000003E-2</v>
      </c>
      <c r="Q22" s="267">
        <f t="shared" ref="Q22:Q28" si="3">ROUND((O22*P22),4)</f>
        <v>1.2999999999999999E-3</v>
      </c>
      <c r="R22" s="785"/>
      <c r="S22" s="267">
        <f t="shared" ref="S22:S28" si="4">ROUND((((E22+I22)+M22)+Q22),4)</f>
        <v>1.8599999999999998E-2</v>
      </c>
    </row>
    <row r="23" spans="1:19" ht="15">
      <c r="A23" s="786" t="s">
        <v>408</v>
      </c>
      <c r="B23" s="272">
        <v>353</v>
      </c>
      <c r="C23" s="267">
        <v>2.7E-2</v>
      </c>
      <c r="D23" s="274">
        <v>0.49482100000000001</v>
      </c>
      <c r="E23" s="267">
        <f t="shared" si="0"/>
        <v>1.34E-2</v>
      </c>
      <c r="F23" s="785"/>
      <c r="G23" s="267">
        <v>2.3699999999999999E-2</v>
      </c>
      <c r="H23" s="274">
        <v>0.41108299999999998</v>
      </c>
      <c r="I23" s="267">
        <f t="shared" si="1"/>
        <v>9.7000000000000003E-3</v>
      </c>
      <c r="J23" s="785"/>
      <c r="K23" s="267">
        <v>2.1899999999999999E-2</v>
      </c>
      <c r="L23" s="274">
        <v>3.6533000000000003E-2</v>
      </c>
      <c r="M23" s="267">
        <f t="shared" si="2"/>
        <v>8.0000000000000004E-4</v>
      </c>
      <c r="N23" s="785"/>
      <c r="O23" s="267">
        <v>2.1899999999999999E-2</v>
      </c>
      <c r="P23" s="274">
        <v>5.7563000000000003E-2</v>
      </c>
      <c r="Q23" s="267">
        <f t="shared" si="3"/>
        <v>1.2999999999999999E-3</v>
      </c>
      <c r="R23" s="785"/>
      <c r="S23" s="267">
        <f t="shared" si="4"/>
        <v>2.52E-2</v>
      </c>
    </row>
    <row r="24" spans="1:19" ht="15">
      <c r="A24" s="786" t="s">
        <v>409</v>
      </c>
      <c r="B24" s="272">
        <v>354</v>
      </c>
      <c r="C24" s="267">
        <v>1.6400000000000001E-2</v>
      </c>
      <c r="D24" s="274">
        <v>0.49482100000000001</v>
      </c>
      <c r="E24" s="267">
        <f t="shared" si="0"/>
        <v>8.0999999999999996E-3</v>
      </c>
      <c r="F24" s="785"/>
      <c r="G24" s="267">
        <v>1.5900000000000001E-2</v>
      </c>
      <c r="H24" s="274">
        <v>0.41108299999999998</v>
      </c>
      <c r="I24" s="267">
        <f t="shared" si="1"/>
        <v>6.4999999999999997E-3</v>
      </c>
      <c r="J24" s="785"/>
      <c r="K24" s="267">
        <v>2.1899999999999999E-2</v>
      </c>
      <c r="L24" s="274">
        <v>3.6533000000000003E-2</v>
      </c>
      <c r="M24" s="267">
        <f t="shared" si="2"/>
        <v>8.0000000000000004E-4</v>
      </c>
      <c r="N24" s="785"/>
      <c r="O24" s="267">
        <v>2.1899999999999999E-2</v>
      </c>
      <c r="P24" s="274">
        <v>5.7563000000000003E-2</v>
      </c>
      <c r="Q24" s="267">
        <f t="shared" si="3"/>
        <v>1.2999999999999999E-3</v>
      </c>
      <c r="R24" s="785"/>
      <c r="S24" s="267">
        <f t="shared" si="4"/>
        <v>1.67E-2</v>
      </c>
    </row>
    <row r="25" spans="1:19" ht="15">
      <c r="A25" s="786" t="s">
        <v>410</v>
      </c>
      <c r="B25" s="272">
        <v>355</v>
      </c>
      <c r="C25" s="267">
        <v>3.4599999999999999E-2</v>
      </c>
      <c r="D25" s="274">
        <v>0.49482100000000001</v>
      </c>
      <c r="E25" s="267">
        <f t="shared" si="0"/>
        <v>1.7100000000000001E-2</v>
      </c>
      <c r="F25" s="785"/>
      <c r="G25" s="267">
        <v>2.7099999999999999E-2</v>
      </c>
      <c r="H25" s="274">
        <v>0.41108299999999998</v>
      </c>
      <c r="I25" s="267">
        <f t="shared" si="1"/>
        <v>1.11E-2</v>
      </c>
      <c r="J25" s="785"/>
      <c r="K25" s="267">
        <v>2.1899999999999999E-2</v>
      </c>
      <c r="L25" s="274">
        <v>3.6533000000000003E-2</v>
      </c>
      <c r="M25" s="267">
        <f t="shared" si="2"/>
        <v>8.0000000000000004E-4</v>
      </c>
      <c r="N25" s="785"/>
      <c r="O25" s="267">
        <v>2.1899999999999999E-2</v>
      </c>
      <c r="P25" s="274">
        <v>5.7563000000000003E-2</v>
      </c>
      <c r="Q25" s="267">
        <f t="shared" si="3"/>
        <v>1.2999999999999999E-3</v>
      </c>
      <c r="R25" s="785"/>
      <c r="S25" s="267">
        <f t="shared" si="4"/>
        <v>3.0300000000000001E-2</v>
      </c>
    </row>
    <row r="26" spans="1:19" ht="15">
      <c r="A26" s="786" t="s">
        <v>605</v>
      </c>
      <c r="B26" s="272">
        <v>356</v>
      </c>
      <c r="C26" s="267">
        <v>1.6500000000000001E-2</v>
      </c>
      <c r="D26" s="274">
        <v>0.49482100000000001</v>
      </c>
      <c r="E26" s="267">
        <f t="shared" si="0"/>
        <v>8.2000000000000007E-3</v>
      </c>
      <c r="F26" s="785"/>
      <c r="G26" s="267">
        <v>1.5299999999999999E-2</v>
      </c>
      <c r="H26" s="274">
        <v>0.41108299999999998</v>
      </c>
      <c r="I26" s="267">
        <f t="shared" si="1"/>
        <v>6.3E-3</v>
      </c>
      <c r="J26" s="785"/>
      <c r="K26" s="267">
        <v>2.1899999999999999E-2</v>
      </c>
      <c r="L26" s="274">
        <v>3.6533000000000003E-2</v>
      </c>
      <c r="M26" s="267">
        <f t="shared" si="2"/>
        <v>8.0000000000000004E-4</v>
      </c>
      <c r="N26" s="785"/>
      <c r="O26" s="267">
        <v>2.1899999999999999E-2</v>
      </c>
      <c r="P26" s="274">
        <v>5.7563000000000003E-2</v>
      </c>
      <c r="Q26" s="267">
        <f t="shared" si="3"/>
        <v>1.2999999999999999E-3</v>
      </c>
      <c r="R26" s="785"/>
      <c r="S26" s="267">
        <f t="shared" si="4"/>
        <v>1.66E-2</v>
      </c>
    </row>
    <row r="27" spans="1:19" ht="15">
      <c r="A27" s="786" t="s">
        <v>411</v>
      </c>
      <c r="B27" s="272">
        <v>357</v>
      </c>
      <c r="C27" s="267">
        <v>2.4899999999999999E-2</v>
      </c>
      <c r="D27" s="274">
        <v>0.49482100000000001</v>
      </c>
      <c r="E27" s="267">
        <f t="shared" si="0"/>
        <v>1.23E-2</v>
      </c>
      <c r="F27" s="785"/>
      <c r="G27" s="267">
        <v>3.7100000000000001E-2</v>
      </c>
      <c r="H27" s="274">
        <v>0.41108299999999998</v>
      </c>
      <c r="I27" s="267">
        <f t="shared" si="1"/>
        <v>1.5299999999999999E-2</v>
      </c>
      <c r="J27" s="785"/>
      <c r="K27" s="267">
        <v>2.1899999999999999E-2</v>
      </c>
      <c r="L27" s="274">
        <v>3.6533000000000003E-2</v>
      </c>
      <c r="M27" s="267">
        <f t="shared" si="2"/>
        <v>8.0000000000000004E-4</v>
      </c>
      <c r="N27" s="785"/>
      <c r="O27" s="267">
        <v>2.1899999999999999E-2</v>
      </c>
      <c r="P27" s="274">
        <v>5.7563000000000003E-2</v>
      </c>
      <c r="Q27" s="267">
        <f t="shared" si="3"/>
        <v>1.2999999999999999E-3</v>
      </c>
      <c r="R27" s="785"/>
      <c r="S27" s="267">
        <f t="shared" si="4"/>
        <v>2.9700000000000001E-2</v>
      </c>
    </row>
    <row r="28" spans="1:19" ht="15">
      <c r="A28" s="786" t="s">
        <v>412</v>
      </c>
      <c r="B28" s="272">
        <v>358</v>
      </c>
      <c r="C28" s="267">
        <v>4.7199999999999999E-2</v>
      </c>
      <c r="D28" s="274">
        <v>0.49482100000000001</v>
      </c>
      <c r="E28" s="267">
        <f t="shared" si="0"/>
        <v>2.3400000000000001E-2</v>
      </c>
      <c r="F28" s="785"/>
      <c r="G28" s="267">
        <v>5.2400000000000002E-2</v>
      </c>
      <c r="H28" s="274">
        <v>0.41108299999999998</v>
      </c>
      <c r="I28" s="267">
        <f t="shared" si="1"/>
        <v>2.1499999999999998E-2</v>
      </c>
      <c r="J28" s="785"/>
      <c r="K28" s="308">
        <v>2.1899999999999999E-2</v>
      </c>
      <c r="L28" s="274">
        <v>3.6533000000000003E-2</v>
      </c>
      <c r="M28" s="267">
        <f t="shared" si="2"/>
        <v>8.0000000000000004E-4</v>
      </c>
      <c r="N28" s="785"/>
      <c r="O28" s="308">
        <v>2.1899999999999999E-2</v>
      </c>
      <c r="P28" s="274">
        <v>5.7563000000000003E-2</v>
      </c>
      <c r="Q28" s="267">
        <f t="shared" si="3"/>
        <v>1.2999999999999999E-3</v>
      </c>
      <c r="R28" s="785"/>
      <c r="S28" s="267">
        <f t="shared" si="4"/>
        <v>4.7E-2</v>
      </c>
    </row>
    <row r="29" spans="1:19" ht="15.75" thickBot="1">
      <c r="A29" s="786"/>
      <c r="B29" s="785"/>
      <c r="C29" s="308"/>
      <c r="D29" s="309"/>
      <c r="E29" s="311"/>
      <c r="F29" s="785"/>
      <c r="G29" s="308"/>
      <c r="H29" s="309"/>
      <c r="I29" s="311"/>
      <c r="J29" s="785"/>
      <c r="K29" s="308"/>
      <c r="L29" s="309"/>
      <c r="M29" s="311"/>
      <c r="N29" s="785"/>
      <c r="O29" s="308"/>
      <c r="P29" s="309"/>
      <c r="Q29" s="267"/>
      <c r="R29" s="785"/>
      <c r="S29" s="267"/>
    </row>
    <row r="30" spans="1:19" ht="15">
      <c r="A30" s="1362" t="s">
        <v>1168</v>
      </c>
      <c r="B30" s="1363"/>
      <c r="C30" s="1364"/>
      <c r="D30" s="1365"/>
      <c r="E30" s="1366"/>
      <c r="F30" s="1363"/>
      <c r="G30" s="1364"/>
      <c r="H30" s="1365"/>
      <c r="I30" s="1366"/>
      <c r="J30" s="1363"/>
      <c r="K30" s="1363"/>
      <c r="L30" s="1365"/>
      <c r="M30" s="1366"/>
      <c r="N30" s="1363"/>
      <c r="O30" s="1363"/>
      <c r="P30" s="1365"/>
      <c r="Q30" s="1366"/>
      <c r="R30" s="1363"/>
      <c r="S30" s="1367"/>
    </row>
    <row r="31" spans="1:19" ht="15">
      <c r="A31" s="784" t="s">
        <v>807</v>
      </c>
      <c r="B31" s="272">
        <v>390</v>
      </c>
      <c r="C31" s="267">
        <v>1.89E-2</v>
      </c>
      <c r="D31" s="309">
        <v>0.523756</v>
      </c>
      <c r="E31" s="267">
        <f t="shared" ref="E31:E39" si="5">ROUND((C31*D31),4)</f>
        <v>9.9000000000000008E-3</v>
      </c>
      <c r="F31" s="785"/>
      <c r="G31" s="267">
        <v>1.9099999999999999E-2</v>
      </c>
      <c r="H31" s="310">
        <v>0.42594100000000001</v>
      </c>
      <c r="I31" s="267">
        <f t="shared" ref="I31:I39" si="6">ROUND((G31*H31),4)</f>
        <v>8.0999999999999996E-3</v>
      </c>
      <c r="J31" s="785"/>
      <c r="K31" s="267">
        <v>3.4300000000000004E-2</v>
      </c>
      <c r="L31" s="310">
        <v>1.9295E-2</v>
      </c>
      <c r="M31" s="267">
        <f t="shared" ref="M31:M39" si="7">ROUND((K31*L31),4)</f>
        <v>6.9999999999999999E-4</v>
      </c>
      <c r="N31" s="785"/>
      <c r="O31" s="267">
        <v>3.4300000000000004E-2</v>
      </c>
      <c r="P31" s="309">
        <v>3.1008999999999998E-2</v>
      </c>
      <c r="Q31" s="267">
        <f t="shared" ref="Q31:Q39" si="8">ROUND((O31*P31),4)</f>
        <v>1.1000000000000001E-3</v>
      </c>
      <c r="R31" s="785"/>
      <c r="S31" s="267">
        <f t="shared" ref="S31:S39" si="9">ROUND((((E31+I31)+M31)+Q31),4)</f>
        <v>1.9800000000000002E-2</v>
      </c>
    </row>
    <row r="32" spans="1:19" ht="15">
      <c r="A32" s="784" t="s">
        <v>808</v>
      </c>
      <c r="B32" s="272">
        <v>391</v>
      </c>
      <c r="C32" s="267">
        <v>3.2099999999999997E-2</v>
      </c>
      <c r="D32" s="309">
        <v>0.523756</v>
      </c>
      <c r="E32" s="267">
        <f t="shared" si="5"/>
        <v>1.6799999999999999E-2</v>
      </c>
      <c r="F32" s="785"/>
      <c r="G32" s="267">
        <v>3.1699999999999999E-2</v>
      </c>
      <c r="H32" s="310">
        <v>0.42594100000000001</v>
      </c>
      <c r="I32" s="267">
        <f t="shared" si="6"/>
        <v>1.35E-2</v>
      </c>
      <c r="J32" s="785"/>
      <c r="K32" s="267">
        <v>3.4300000000000004E-2</v>
      </c>
      <c r="L32" s="310">
        <v>1.9295E-2</v>
      </c>
      <c r="M32" s="267">
        <f t="shared" si="7"/>
        <v>6.9999999999999999E-4</v>
      </c>
      <c r="N32" s="785"/>
      <c r="O32" s="267">
        <v>3.4300000000000004E-2</v>
      </c>
      <c r="P32" s="309">
        <v>3.1008999999999998E-2</v>
      </c>
      <c r="Q32" s="267">
        <f t="shared" si="8"/>
        <v>1.1000000000000001E-3</v>
      </c>
      <c r="R32" s="785"/>
      <c r="S32" s="267">
        <f t="shared" si="9"/>
        <v>3.2099999999999997E-2</v>
      </c>
    </row>
    <row r="33" spans="1:19" ht="15">
      <c r="A33" s="784" t="s">
        <v>1169</v>
      </c>
      <c r="B33" s="272">
        <v>392</v>
      </c>
      <c r="C33" s="267">
        <v>3.4599999999999999E-2</v>
      </c>
      <c r="D33" s="274">
        <v>0.523756</v>
      </c>
      <c r="E33" s="267">
        <f t="shared" si="5"/>
        <v>1.8100000000000002E-2</v>
      </c>
      <c r="F33" s="785"/>
      <c r="G33" s="267">
        <v>3.4000000000000002E-2</v>
      </c>
      <c r="H33" s="274">
        <v>0.42594100000000001</v>
      </c>
      <c r="I33" s="267">
        <f t="shared" si="6"/>
        <v>1.4500000000000001E-2</v>
      </c>
      <c r="J33" s="785"/>
      <c r="K33" s="267">
        <v>3.4300000000000004E-2</v>
      </c>
      <c r="L33" s="274">
        <v>1.9295E-2</v>
      </c>
      <c r="M33" s="267">
        <f t="shared" si="7"/>
        <v>6.9999999999999999E-4</v>
      </c>
      <c r="N33" s="785"/>
      <c r="O33" s="267">
        <v>3.4300000000000004E-2</v>
      </c>
      <c r="P33" s="274">
        <v>3.1008999999999998E-2</v>
      </c>
      <c r="Q33" s="267">
        <f t="shared" si="8"/>
        <v>1.1000000000000001E-3</v>
      </c>
      <c r="R33" s="785"/>
      <c r="S33" s="267">
        <f t="shared" si="9"/>
        <v>3.44E-2</v>
      </c>
    </row>
    <row r="34" spans="1:19" ht="15">
      <c r="A34" s="784" t="s">
        <v>809</v>
      </c>
      <c r="B34" s="272">
        <v>393</v>
      </c>
      <c r="C34" s="267">
        <v>1.78E-2</v>
      </c>
      <c r="D34" s="274">
        <v>0.523756</v>
      </c>
      <c r="E34" s="267">
        <f t="shared" si="5"/>
        <v>9.2999999999999992E-3</v>
      </c>
      <c r="F34" s="785"/>
      <c r="G34" s="267">
        <v>1.7999999999999999E-2</v>
      </c>
      <c r="H34" s="274">
        <v>0.42594100000000001</v>
      </c>
      <c r="I34" s="267">
        <f t="shared" si="6"/>
        <v>7.7000000000000002E-3</v>
      </c>
      <c r="J34" s="785"/>
      <c r="K34" s="267">
        <v>3.4300000000000004E-2</v>
      </c>
      <c r="L34" s="274">
        <v>1.9295E-2</v>
      </c>
      <c r="M34" s="267">
        <f t="shared" si="7"/>
        <v>6.9999999999999999E-4</v>
      </c>
      <c r="N34" s="785"/>
      <c r="O34" s="267">
        <v>3.4300000000000004E-2</v>
      </c>
      <c r="P34" s="274">
        <v>3.1008999999999998E-2</v>
      </c>
      <c r="Q34" s="267">
        <f t="shared" si="8"/>
        <v>1.1000000000000001E-3</v>
      </c>
      <c r="R34" s="785"/>
      <c r="S34" s="267">
        <f t="shared" si="9"/>
        <v>1.8800000000000001E-2</v>
      </c>
    </row>
    <row r="35" spans="1:19" ht="15.75" customHeight="1">
      <c r="A35" s="784" t="s">
        <v>810</v>
      </c>
      <c r="B35" s="272">
        <v>394</v>
      </c>
      <c r="C35" s="267">
        <v>2.5899999999999999E-2</v>
      </c>
      <c r="D35" s="274">
        <v>0.523756</v>
      </c>
      <c r="E35" s="267">
        <f t="shared" si="5"/>
        <v>1.3599999999999999E-2</v>
      </c>
      <c r="F35" s="785"/>
      <c r="G35" s="267">
        <v>2.5700000000000001E-2</v>
      </c>
      <c r="H35" s="274">
        <v>0.42594100000000001</v>
      </c>
      <c r="I35" s="267">
        <f t="shared" si="6"/>
        <v>1.09E-2</v>
      </c>
      <c r="J35" s="785"/>
      <c r="K35" s="267">
        <v>3.4300000000000004E-2</v>
      </c>
      <c r="L35" s="274">
        <v>1.9295E-2</v>
      </c>
      <c r="M35" s="267">
        <f t="shared" si="7"/>
        <v>6.9999999999999999E-4</v>
      </c>
      <c r="N35" s="785"/>
      <c r="O35" s="267">
        <v>3.4300000000000004E-2</v>
      </c>
      <c r="P35" s="274">
        <v>3.1008999999999998E-2</v>
      </c>
      <c r="Q35" s="267">
        <f t="shared" si="8"/>
        <v>1.1000000000000001E-3</v>
      </c>
      <c r="R35" s="785"/>
      <c r="S35" s="267">
        <f t="shared" si="9"/>
        <v>2.63E-2</v>
      </c>
    </row>
    <row r="36" spans="1:19" ht="15.75" customHeight="1">
      <c r="A36" s="784" t="s">
        <v>811</v>
      </c>
      <c r="B36" s="272">
        <v>395</v>
      </c>
      <c r="C36" s="267">
        <v>3.8699999999999998E-2</v>
      </c>
      <c r="D36" s="274">
        <v>0.523756</v>
      </c>
      <c r="E36" s="267">
        <f t="shared" si="5"/>
        <v>2.0299999999999999E-2</v>
      </c>
      <c r="F36" s="785"/>
      <c r="G36" s="267">
        <v>4.0099999999999997E-2</v>
      </c>
      <c r="H36" s="274">
        <v>0.42594100000000001</v>
      </c>
      <c r="I36" s="267">
        <f t="shared" si="6"/>
        <v>1.7100000000000001E-2</v>
      </c>
      <c r="J36" s="785"/>
      <c r="K36" s="267">
        <v>3.4300000000000004E-2</v>
      </c>
      <c r="L36" s="274">
        <v>1.9295E-2</v>
      </c>
      <c r="M36" s="267">
        <f t="shared" si="7"/>
        <v>6.9999999999999999E-4</v>
      </c>
      <c r="N36" s="785"/>
      <c r="O36" s="267">
        <v>3.4300000000000004E-2</v>
      </c>
      <c r="P36" s="274">
        <v>3.1008999999999998E-2</v>
      </c>
      <c r="Q36" s="267">
        <f t="shared" si="8"/>
        <v>1.1000000000000001E-3</v>
      </c>
      <c r="R36" s="785"/>
      <c r="S36" s="267">
        <f t="shared" si="9"/>
        <v>3.9199999999999999E-2</v>
      </c>
    </row>
    <row r="37" spans="1:19" ht="15.75" customHeight="1">
      <c r="A37" s="784" t="s">
        <v>1170</v>
      </c>
      <c r="B37" s="272">
        <v>396</v>
      </c>
      <c r="C37" s="267">
        <v>0</v>
      </c>
      <c r="D37" s="274">
        <v>0.523756</v>
      </c>
      <c r="E37" s="267">
        <f t="shared" si="5"/>
        <v>0</v>
      </c>
      <c r="F37" s="785"/>
      <c r="G37" s="267">
        <v>3.9E-2</v>
      </c>
      <c r="H37" s="274">
        <v>0.42594100000000001</v>
      </c>
      <c r="I37" s="267">
        <f t="shared" si="6"/>
        <v>1.66E-2</v>
      </c>
      <c r="J37" s="785"/>
      <c r="K37" s="267">
        <v>3.4300000000000004E-2</v>
      </c>
      <c r="L37" s="274">
        <v>1.9295E-2</v>
      </c>
      <c r="M37" s="267">
        <f t="shared" si="7"/>
        <v>6.9999999999999999E-4</v>
      </c>
      <c r="N37" s="785"/>
      <c r="O37" s="267">
        <v>3.4300000000000004E-2</v>
      </c>
      <c r="P37" s="274">
        <v>3.1008999999999998E-2</v>
      </c>
      <c r="Q37" s="267">
        <f t="shared" si="8"/>
        <v>1.1000000000000001E-3</v>
      </c>
      <c r="R37" s="785"/>
      <c r="S37" s="267">
        <f t="shared" si="9"/>
        <v>1.84E-2</v>
      </c>
    </row>
    <row r="38" spans="1:19" ht="15">
      <c r="A38" s="784" t="s">
        <v>812</v>
      </c>
      <c r="B38" s="272">
        <v>397</v>
      </c>
      <c r="C38" s="267">
        <v>5.0500000000000003E-2</v>
      </c>
      <c r="D38" s="274">
        <v>0.523756</v>
      </c>
      <c r="E38" s="267">
        <f t="shared" si="5"/>
        <v>2.64E-2</v>
      </c>
      <c r="F38" s="785"/>
      <c r="G38" s="267">
        <v>4.9799999999999997E-2</v>
      </c>
      <c r="H38" s="274">
        <v>0.42594100000000001</v>
      </c>
      <c r="I38" s="267">
        <f t="shared" si="6"/>
        <v>2.12E-2</v>
      </c>
      <c r="J38" s="785"/>
      <c r="K38" s="267">
        <v>3.4300000000000004E-2</v>
      </c>
      <c r="L38" s="274">
        <v>1.9295E-2</v>
      </c>
      <c r="M38" s="267">
        <f t="shared" si="7"/>
        <v>6.9999999999999999E-4</v>
      </c>
      <c r="N38" s="785"/>
      <c r="O38" s="267">
        <v>3.4300000000000004E-2</v>
      </c>
      <c r="P38" s="274">
        <v>3.1008999999999998E-2</v>
      </c>
      <c r="Q38" s="267">
        <f t="shared" si="8"/>
        <v>1.1000000000000001E-3</v>
      </c>
      <c r="R38" s="785"/>
      <c r="S38" s="267">
        <f t="shared" si="9"/>
        <v>4.9399999999999999E-2</v>
      </c>
    </row>
    <row r="39" spans="1:19" ht="15">
      <c r="A39" s="784" t="s">
        <v>813</v>
      </c>
      <c r="B39" s="272">
        <v>398</v>
      </c>
      <c r="C39" s="267">
        <v>2.6700000000000002E-2</v>
      </c>
      <c r="D39" s="274">
        <v>0.523756</v>
      </c>
      <c r="E39" s="267">
        <f t="shared" si="5"/>
        <v>1.4E-2</v>
      </c>
      <c r="F39" s="785"/>
      <c r="G39" s="267">
        <v>2.7E-2</v>
      </c>
      <c r="H39" s="274">
        <v>0.42594100000000001</v>
      </c>
      <c r="I39" s="267">
        <f t="shared" si="6"/>
        <v>1.15E-2</v>
      </c>
      <c r="J39" s="785"/>
      <c r="K39" s="308">
        <v>3.4300000000000004E-2</v>
      </c>
      <c r="L39" s="274">
        <v>1.9295E-2</v>
      </c>
      <c r="M39" s="267">
        <f t="shared" si="7"/>
        <v>6.9999999999999999E-4</v>
      </c>
      <c r="N39" s="785"/>
      <c r="O39" s="308">
        <v>3.4300000000000004E-2</v>
      </c>
      <c r="P39" s="274">
        <v>3.1008999999999998E-2</v>
      </c>
      <c r="Q39" s="267">
        <f t="shared" si="8"/>
        <v>1.1000000000000001E-3</v>
      </c>
      <c r="R39" s="785"/>
      <c r="S39" s="267">
        <f t="shared" si="9"/>
        <v>2.7300000000000001E-2</v>
      </c>
    </row>
    <row r="40" spans="1:19" ht="15.75" thickBot="1">
      <c r="A40" s="1368"/>
      <c r="B40" s="1369"/>
      <c r="C40" s="1370"/>
      <c r="D40" s="1371"/>
      <c r="E40" s="1372"/>
      <c r="F40" s="1369"/>
      <c r="G40" s="1372"/>
      <c r="H40" s="1371"/>
      <c r="I40" s="1372"/>
      <c r="J40" s="1369"/>
      <c r="K40" s="1370"/>
      <c r="L40" s="1371"/>
      <c r="M40" s="1372"/>
      <c r="N40" s="1369"/>
      <c r="O40" s="1370"/>
      <c r="P40" s="1371"/>
      <c r="Q40" s="1372"/>
      <c r="R40" s="1369"/>
      <c r="S40" s="1372"/>
    </row>
    <row r="41" spans="1:19" ht="15">
      <c r="A41" s="772"/>
      <c r="B41" s="774"/>
      <c r="C41" s="267"/>
      <c r="D41" s="772"/>
      <c r="E41" s="772"/>
      <c r="F41" s="772"/>
      <c r="G41" s="273"/>
      <c r="H41" s="772"/>
      <c r="I41" s="772"/>
      <c r="J41" s="772"/>
      <c r="K41" s="772"/>
      <c r="L41" s="772"/>
      <c r="M41" s="772"/>
      <c r="N41" s="772"/>
      <c r="O41" s="772"/>
      <c r="P41" s="772"/>
      <c r="Q41" s="772"/>
      <c r="R41" s="772"/>
      <c r="S41" s="772"/>
    </row>
    <row r="42" spans="1:19" ht="15" customHeight="1">
      <c r="A42" s="772" t="s">
        <v>1277</v>
      </c>
      <c r="B42" s="787"/>
      <c r="C42" s="275"/>
      <c r="D42" s="787"/>
      <c r="E42" s="772"/>
      <c r="F42" s="788" t="s">
        <v>123</v>
      </c>
      <c r="G42" s="273" t="s">
        <v>1278</v>
      </c>
      <c r="H42" s="774"/>
      <c r="I42" s="772"/>
      <c r="J42" s="772"/>
      <c r="K42" s="772"/>
      <c r="L42" s="788"/>
      <c r="M42" s="772"/>
      <c r="N42" s="772"/>
      <c r="O42" s="772"/>
      <c r="P42" s="772"/>
      <c r="Q42" s="772"/>
      <c r="R42" s="772"/>
      <c r="S42" s="772"/>
    </row>
    <row r="43" spans="1:19" ht="15.75">
      <c r="A43" s="772" t="s">
        <v>1279</v>
      </c>
      <c r="B43" s="787"/>
      <c r="C43" s="275"/>
      <c r="D43" s="787"/>
      <c r="E43" s="787"/>
      <c r="F43" s="789"/>
      <c r="G43" s="273"/>
      <c r="H43" s="774"/>
      <c r="I43" s="772"/>
      <c r="J43" s="772"/>
      <c r="K43" s="772"/>
      <c r="L43" s="772"/>
      <c r="M43" s="772"/>
      <c r="N43" s="772"/>
      <c r="O43" s="772"/>
      <c r="P43" s="772"/>
      <c r="Q43" s="772"/>
      <c r="R43" s="772"/>
      <c r="S43" s="772"/>
    </row>
    <row r="44" spans="1:19" ht="15" customHeight="1">
      <c r="A44" s="772"/>
      <c r="B44" s="787"/>
      <c r="C44" s="275"/>
      <c r="D44" s="790"/>
      <c r="E44" s="790"/>
      <c r="F44" s="788" t="s">
        <v>606</v>
      </c>
      <c r="G44" s="273" t="s">
        <v>1280</v>
      </c>
      <c r="H44" s="772"/>
      <c r="I44" s="772"/>
      <c r="J44" s="772"/>
      <c r="K44" s="772"/>
      <c r="L44" s="772"/>
      <c r="M44" s="772"/>
      <c r="N44" s="772"/>
      <c r="O44" s="772"/>
      <c r="P44" s="772"/>
      <c r="Q44" s="772"/>
      <c r="R44" s="772"/>
      <c r="S44" s="772"/>
    </row>
    <row r="45" spans="1:19" ht="15.75">
      <c r="A45" s="772" t="s">
        <v>1281</v>
      </c>
      <c r="B45" s="787"/>
      <c r="C45" s="275"/>
      <c r="D45" s="787"/>
      <c r="E45" s="787"/>
      <c r="F45" s="789"/>
      <c r="G45" s="273"/>
      <c r="H45" s="774"/>
      <c r="I45" s="772"/>
      <c r="J45" s="772"/>
      <c r="K45" s="772"/>
      <c r="L45" s="772"/>
      <c r="M45" s="772"/>
      <c r="N45" s="772"/>
      <c r="O45" s="772"/>
      <c r="P45" s="772"/>
      <c r="Q45" s="772"/>
      <c r="R45" s="772"/>
      <c r="S45" s="772"/>
    </row>
    <row r="46" spans="1:19" ht="15.75" customHeight="1">
      <c r="A46" s="772" t="s">
        <v>1282</v>
      </c>
      <c r="B46" s="787"/>
      <c r="C46" s="275"/>
      <c r="D46" s="787"/>
      <c r="E46" s="787"/>
      <c r="F46" s="788" t="s">
        <v>607</v>
      </c>
      <c r="G46" s="1745" t="s">
        <v>608</v>
      </c>
      <c r="H46" s="1745"/>
      <c r="I46" s="1745"/>
      <c r="J46" s="1745"/>
      <c r="K46" s="1745"/>
      <c r="L46" s="1745"/>
      <c r="M46" s="772"/>
      <c r="N46" s="772"/>
      <c r="O46" s="772"/>
      <c r="P46" s="772"/>
      <c r="Q46" s="772"/>
      <c r="R46" s="772"/>
      <c r="S46" s="772"/>
    </row>
    <row r="47" spans="1:19" ht="15.75" customHeight="1">
      <c r="A47" s="772"/>
      <c r="B47" s="787"/>
      <c r="C47" s="275"/>
      <c r="D47" s="787"/>
      <c r="E47" s="787"/>
      <c r="F47" s="788"/>
      <c r="G47" s="1745" t="s">
        <v>609</v>
      </c>
      <c r="H47" s="1745"/>
      <c r="I47" s="1745"/>
      <c r="J47" s="1745"/>
      <c r="K47" s="1745"/>
      <c r="L47" s="1745"/>
      <c r="M47" s="772"/>
      <c r="N47" s="772"/>
      <c r="O47" s="772"/>
      <c r="P47" s="772"/>
      <c r="Q47" s="772"/>
      <c r="R47" s="772"/>
      <c r="S47" s="772"/>
    </row>
    <row r="48" spans="1:19" ht="15.75" customHeight="1">
      <c r="A48" s="772"/>
      <c r="B48" s="787"/>
      <c r="C48" s="275"/>
      <c r="D48" s="787"/>
      <c r="E48" s="787"/>
      <c r="F48" s="788"/>
      <c r="G48" s="1745" t="s">
        <v>610</v>
      </c>
      <c r="H48" s="1745"/>
      <c r="I48" s="1745"/>
      <c r="J48" s="1745"/>
      <c r="K48" s="1745"/>
      <c r="L48" s="1745"/>
      <c r="M48" s="772"/>
      <c r="N48" s="772"/>
      <c r="O48" s="772"/>
      <c r="P48" s="772"/>
      <c r="Q48" s="772"/>
      <c r="R48" s="772"/>
      <c r="S48" s="772"/>
    </row>
    <row r="49" spans="1:19" ht="15.75">
      <c r="A49" s="791"/>
      <c r="B49" s="774"/>
      <c r="C49" s="267"/>
      <c r="D49" s="772"/>
      <c r="E49" s="772"/>
      <c r="F49" s="772"/>
      <c r="G49" s="1745" t="s">
        <v>114</v>
      </c>
      <c r="H49" s="1745"/>
      <c r="I49" s="1745"/>
      <c r="J49" s="1745"/>
      <c r="K49" s="1745"/>
      <c r="L49" s="1745"/>
      <c r="M49" s="772"/>
      <c r="N49" s="772"/>
      <c r="O49" s="772"/>
      <c r="P49" s="772"/>
      <c r="Q49" s="772"/>
      <c r="R49" s="772"/>
      <c r="S49" s="772"/>
    </row>
    <row r="50" spans="1:19" ht="15.75">
      <c r="A50" s="791"/>
      <c r="B50" s="774"/>
      <c r="C50" s="267"/>
      <c r="D50" s="772"/>
      <c r="E50" s="772"/>
      <c r="F50" s="788" t="s">
        <v>611</v>
      </c>
      <c r="G50" s="1745" t="s">
        <v>1283</v>
      </c>
      <c r="H50" s="1745"/>
      <c r="I50" s="1745"/>
      <c r="J50" s="1745"/>
      <c r="K50" s="1745"/>
      <c r="L50" s="1745"/>
      <c r="M50" s="772"/>
      <c r="N50" s="772"/>
      <c r="O50" s="772"/>
      <c r="P50" s="772"/>
      <c r="Q50" s="772"/>
      <c r="R50" s="772"/>
      <c r="S50" s="772"/>
    </row>
    <row r="51" spans="1:19" ht="15.75">
      <c r="A51" s="791" t="s">
        <v>413</v>
      </c>
      <c r="B51" s="774"/>
      <c r="C51" s="267"/>
      <c r="D51" s="772"/>
      <c r="E51" s="772"/>
      <c r="F51" s="772"/>
      <c r="G51" s="772" t="s">
        <v>1284</v>
      </c>
      <c r="H51" s="772"/>
      <c r="I51" s="772"/>
      <c r="J51" s="772"/>
      <c r="K51" s="772"/>
      <c r="L51" s="772"/>
      <c r="M51" s="772"/>
      <c r="N51" s="772"/>
      <c r="O51" s="792"/>
      <c r="P51" s="772"/>
      <c r="Q51" s="772"/>
      <c r="R51" s="772"/>
      <c r="S51" s="772"/>
    </row>
    <row r="52" spans="1:19" ht="15">
      <c r="A52" s="793" t="s">
        <v>29</v>
      </c>
      <c r="B52" s="794"/>
      <c r="C52" s="794"/>
      <c r="D52" s="795"/>
      <c r="E52" s="772"/>
      <c r="F52" s="772"/>
      <c r="G52" s="273"/>
      <c r="H52" s="772"/>
      <c r="I52" s="772"/>
      <c r="J52" s="772"/>
      <c r="K52" s="772"/>
      <c r="L52" s="772"/>
      <c r="M52" s="772"/>
      <c r="N52" s="772"/>
      <c r="O52" s="792"/>
      <c r="P52" s="772"/>
      <c r="Q52" s="772"/>
      <c r="R52" s="772"/>
      <c r="S52" s="772"/>
    </row>
    <row r="53" spans="1:19" ht="15">
      <c r="A53" s="1746" t="s">
        <v>612</v>
      </c>
      <c r="B53" s="1747"/>
      <c r="C53" s="1747"/>
      <c r="D53" s="1747"/>
      <c r="E53" s="1747"/>
      <c r="F53" s="1747"/>
      <c r="G53" s="1747"/>
      <c r="H53" s="1747"/>
      <c r="I53" s="1747"/>
      <c r="J53" s="1747"/>
      <c r="K53" s="1747"/>
      <c r="L53" s="1747"/>
      <c r="M53" s="1747"/>
      <c r="N53" s="1747"/>
      <c r="O53" s="772"/>
      <c r="P53" s="772"/>
      <c r="Q53" s="772"/>
      <c r="R53" s="772"/>
      <c r="S53" s="772"/>
    </row>
    <row r="54" spans="1:19" ht="15">
      <c r="A54" s="1747"/>
      <c r="B54" s="1747"/>
      <c r="C54" s="1747"/>
      <c r="D54" s="1747"/>
      <c r="E54" s="1747"/>
      <c r="F54" s="1747"/>
      <c r="G54" s="1747"/>
      <c r="H54" s="1747"/>
      <c r="I54" s="1747"/>
      <c r="J54" s="1747"/>
      <c r="K54" s="1747"/>
      <c r="L54" s="1747"/>
      <c r="M54" s="1747"/>
      <c r="N54" s="1747"/>
      <c r="O54" s="772"/>
      <c r="P54" s="772"/>
      <c r="Q54" s="772"/>
      <c r="R54" s="772"/>
      <c r="S54" s="772"/>
    </row>
    <row r="55" spans="1:19" ht="15">
      <c r="A55" s="1625" t="s">
        <v>822</v>
      </c>
      <c r="B55" s="1625"/>
      <c r="C55" s="1625"/>
      <c r="D55" s="1625"/>
      <c r="E55" s="1625"/>
      <c r="F55" s="1625"/>
      <c r="G55" s="1625"/>
      <c r="H55" s="1625"/>
      <c r="I55" s="1625"/>
      <c r="J55" s="1625"/>
      <c r="K55" s="1625"/>
      <c r="L55" s="1625"/>
      <c r="M55" s="1625"/>
      <c r="N55" s="1625"/>
      <c r="O55" s="772"/>
      <c r="P55" s="772"/>
      <c r="Q55" s="772"/>
      <c r="R55" s="772"/>
      <c r="S55" s="772"/>
    </row>
    <row r="56" spans="1:19" ht="15">
      <c r="A56" s="1625"/>
      <c r="B56" s="1625"/>
      <c r="C56" s="1625"/>
      <c r="D56" s="1625"/>
      <c r="E56" s="1625"/>
      <c r="F56" s="1625"/>
      <c r="G56" s="1625"/>
      <c r="H56" s="1625"/>
      <c r="I56" s="1625"/>
      <c r="J56" s="1625"/>
      <c r="K56" s="1625"/>
      <c r="L56" s="1625"/>
      <c r="M56" s="1625"/>
      <c r="N56" s="1625"/>
      <c r="O56" s="772"/>
      <c r="P56" s="772"/>
      <c r="Q56" s="772"/>
      <c r="R56" s="772"/>
      <c r="S56" s="772"/>
    </row>
  </sheetData>
  <mergeCells count="19">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 ref="G50:L50"/>
  </mergeCells>
  <phoneticPr fontId="7"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44" sqref="A44:A46"/>
    </sheetView>
  </sheetViews>
  <sheetFormatPr defaultColWidth="9.140625" defaultRowHeight="12.75"/>
  <cols>
    <col min="1" max="1" width="34.28515625" style="1566" customWidth="1"/>
    <col min="2" max="2" width="9.140625" style="1566"/>
    <col min="3" max="3" width="11.85546875" style="1566" customWidth="1"/>
    <col min="4" max="4" width="18.28515625" style="1566" customWidth="1"/>
    <col min="5" max="5" width="12.5703125" style="1566" customWidth="1"/>
    <col min="6" max="6" width="9.140625" style="1566"/>
    <col min="7" max="7" width="12.140625" style="1566" customWidth="1"/>
    <col min="8" max="8" width="18.85546875" style="1566" customWidth="1"/>
    <col min="9" max="9" width="15.5703125" style="1566" bestFit="1" customWidth="1"/>
    <col min="10" max="16384" width="9.140625" style="1566"/>
  </cols>
  <sheetData>
    <row r="1" spans="1:11" s="772" customFormat="1" ht="15.75">
      <c r="A1" s="898" t="s">
        <v>114</v>
      </c>
      <c r="G1" s="273"/>
    </row>
    <row r="2" spans="1:11" s="772" customFormat="1" ht="15.75">
      <c r="A2" s="898" t="s">
        <v>114</v>
      </c>
      <c r="G2" s="273"/>
    </row>
    <row r="3" spans="1:11" ht="19.5">
      <c r="A3" s="1752" t="s">
        <v>391</v>
      </c>
      <c r="B3" s="1752"/>
      <c r="C3" s="1752"/>
      <c r="D3" s="1752"/>
      <c r="E3" s="1752"/>
      <c r="F3" s="1752"/>
      <c r="G3" s="1752"/>
      <c r="H3" s="1752"/>
      <c r="I3" s="1752"/>
      <c r="J3" s="1752"/>
      <c r="K3" s="1752"/>
    </row>
    <row r="4" spans="1:11" ht="19.5">
      <c r="A4" s="1752" t="s">
        <v>392</v>
      </c>
      <c r="B4" s="1752"/>
      <c r="C4" s="1752"/>
      <c r="D4" s="1752"/>
      <c r="E4" s="1752"/>
      <c r="F4" s="1752"/>
      <c r="G4" s="1752"/>
      <c r="H4" s="1752"/>
      <c r="I4" s="1752"/>
      <c r="J4" s="1752"/>
      <c r="K4" s="1752"/>
    </row>
    <row r="5" spans="1:11" ht="19.5">
      <c r="A5" s="1752" t="s">
        <v>393</v>
      </c>
      <c r="B5" s="1752"/>
      <c r="C5" s="1752"/>
      <c r="D5" s="1752"/>
      <c r="E5" s="1752"/>
      <c r="F5" s="1752"/>
      <c r="G5" s="1752"/>
      <c r="H5" s="1752"/>
      <c r="I5" s="1752"/>
      <c r="J5" s="1752"/>
      <c r="K5" s="1752"/>
    </row>
    <row r="6" spans="1:11" ht="19.5">
      <c r="A6" s="1752" t="s">
        <v>394</v>
      </c>
      <c r="B6" s="1752"/>
      <c r="C6" s="1752"/>
      <c r="D6" s="1752"/>
      <c r="E6" s="1752"/>
      <c r="F6" s="1752"/>
      <c r="G6" s="1752"/>
      <c r="H6" s="1752"/>
      <c r="I6" s="1752"/>
      <c r="J6" s="1752"/>
      <c r="K6" s="1752"/>
    </row>
    <row r="7" spans="1:11" ht="19.5">
      <c r="A7" s="1752" t="s">
        <v>1291</v>
      </c>
      <c r="B7" s="1752"/>
      <c r="C7" s="1752"/>
      <c r="D7" s="1752"/>
      <c r="E7" s="1752"/>
      <c r="F7" s="1752"/>
      <c r="G7" s="1752"/>
      <c r="H7" s="1752"/>
      <c r="I7" s="1752"/>
      <c r="J7" s="1752"/>
      <c r="K7" s="1752"/>
    </row>
    <row r="8" spans="1:11" ht="19.5">
      <c r="A8" s="1752" t="s">
        <v>395</v>
      </c>
      <c r="B8" s="1752"/>
      <c r="C8" s="1752"/>
      <c r="D8" s="1752"/>
      <c r="E8" s="1752"/>
      <c r="F8" s="1752"/>
      <c r="G8" s="1752"/>
      <c r="H8" s="1752"/>
      <c r="I8" s="1752"/>
      <c r="J8" s="1752"/>
      <c r="K8" s="1752"/>
    </row>
    <row r="9" spans="1:11" ht="19.5">
      <c r="A9" s="1752" t="s">
        <v>765</v>
      </c>
      <c r="B9" s="1752"/>
      <c r="C9" s="1752"/>
      <c r="D9" s="1752"/>
      <c r="E9" s="1752"/>
      <c r="F9" s="1752"/>
      <c r="G9" s="1752"/>
      <c r="H9" s="1752"/>
      <c r="I9" s="1752"/>
      <c r="J9" s="1752"/>
      <c r="K9" s="1752"/>
    </row>
    <row r="10" spans="1:11" ht="19.5">
      <c r="A10" s="1754"/>
      <c r="B10" s="1754"/>
      <c r="C10" s="1754"/>
      <c r="D10" s="1754"/>
      <c r="E10" s="1754"/>
      <c r="F10" s="1754"/>
      <c r="G10" s="1754"/>
      <c r="H10" s="1754"/>
      <c r="I10" s="1754"/>
      <c r="J10" s="1754"/>
      <c r="K10" s="1754"/>
    </row>
    <row r="11" spans="1:11" ht="16.5" thickBot="1">
      <c r="A11" s="1149"/>
      <c r="B11" s="1149"/>
      <c r="C11" s="1755" t="s">
        <v>766</v>
      </c>
      <c r="D11" s="1755"/>
      <c r="E11" s="1755"/>
      <c r="F11" s="1149"/>
      <c r="G11" s="1755" t="s">
        <v>1275</v>
      </c>
      <c r="H11" s="1755"/>
      <c r="I11" s="1755"/>
      <c r="J11" s="1149"/>
      <c r="K11" s="1561" t="s">
        <v>397</v>
      </c>
    </row>
    <row r="12" spans="1:11" ht="15.75">
      <c r="A12" s="1150"/>
      <c r="B12" s="1149"/>
      <c r="C12" s="1151" t="s">
        <v>121</v>
      </c>
      <c r="D12" s="1304"/>
      <c r="E12" s="1304"/>
      <c r="F12" s="1304"/>
      <c r="G12" s="1305" t="s">
        <v>122</v>
      </c>
      <c r="H12" s="1306"/>
      <c r="I12" s="1306"/>
      <c r="J12" s="1306"/>
      <c r="K12" s="1306"/>
    </row>
    <row r="13" spans="1:11" ht="15">
      <c r="A13" s="1149"/>
      <c r="B13" s="1149"/>
      <c r="C13" s="1151" t="s">
        <v>114</v>
      </c>
      <c r="D13" s="1304"/>
      <c r="E13" s="1151" t="s">
        <v>398</v>
      </c>
      <c r="F13" s="1304"/>
      <c r="G13" s="1305" t="s">
        <v>767</v>
      </c>
      <c r="H13" s="1304"/>
      <c r="I13" s="1151" t="s">
        <v>398</v>
      </c>
      <c r="J13" s="1304"/>
      <c r="K13" s="1151" t="s">
        <v>398</v>
      </c>
    </row>
    <row r="14" spans="1:11" ht="15">
      <c r="A14" s="1149"/>
      <c r="B14" s="1151" t="s">
        <v>399</v>
      </c>
      <c r="C14" s="1151" t="s">
        <v>768</v>
      </c>
      <c r="D14" s="1151" t="s">
        <v>400</v>
      </c>
      <c r="E14" s="1151" t="s">
        <v>401</v>
      </c>
      <c r="F14" s="1304"/>
      <c r="G14" s="1305" t="s">
        <v>402</v>
      </c>
      <c r="H14" s="1151" t="s">
        <v>400</v>
      </c>
      <c r="I14" s="1151" t="s">
        <v>401</v>
      </c>
      <c r="J14" s="1304"/>
      <c r="K14" s="1151" t="s">
        <v>401</v>
      </c>
    </row>
    <row r="15" spans="1:11" ht="15">
      <c r="A15" s="1151"/>
      <c r="B15" s="1151" t="s">
        <v>403</v>
      </c>
      <c r="C15" s="1151" t="s">
        <v>404</v>
      </c>
      <c r="D15" s="1151" t="s">
        <v>769</v>
      </c>
      <c r="E15" s="1151" t="s">
        <v>405</v>
      </c>
      <c r="F15" s="1304"/>
      <c r="G15" s="1305" t="s">
        <v>404</v>
      </c>
      <c r="H15" s="1151" t="s">
        <v>769</v>
      </c>
      <c r="I15" s="1151" t="s">
        <v>405</v>
      </c>
      <c r="J15" s="1304"/>
      <c r="K15" s="1151" t="s">
        <v>405</v>
      </c>
    </row>
    <row r="16" spans="1:11" ht="15">
      <c r="A16" s="1152"/>
      <c r="B16" s="1152"/>
      <c r="C16" s="1152"/>
      <c r="D16" s="1152"/>
      <c r="E16" s="1152"/>
      <c r="F16" s="1152"/>
      <c r="G16" s="1153"/>
      <c r="H16" s="1152"/>
      <c r="I16" s="1152"/>
      <c r="J16" s="1152"/>
      <c r="K16" s="1152"/>
    </row>
    <row r="17" spans="1:11" ht="15.75" thickBot="1">
      <c r="A17" s="1154"/>
      <c r="B17" s="1149"/>
      <c r="C17" s="267"/>
      <c r="D17" s="1149"/>
      <c r="E17" s="1149"/>
      <c r="F17" s="1149"/>
      <c r="G17" s="1307"/>
      <c r="H17" s="1149"/>
      <c r="I17" s="1149"/>
      <c r="J17" s="1149"/>
      <c r="K17" s="1149"/>
    </row>
    <row r="18" spans="1:11" ht="15">
      <c r="A18" s="1155" t="s">
        <v>406</v>
      </c>
      <c r="B18" s="1156"/>
      <c r="C18" s="268"/>
      <c r="D18" s="269"/>
      <c r="E18" s="270"/>
      <c r="F18" s="1156"/>
      <c r="G18" s="270"/>
      <c r="H18" s="271"/>
      <c r="I18" s="270"/>
      <c r="J18" s="1156"/>
      <c r="K18" s="270"/>
    </row>
    <row r="19" spans="1:11" ht="15">
      <c r="A19" s="1152" t="s">
        <v>770</v>
      </c>
      <c r="B19" s="272">
        <v>350.1</v>
      </c>
      <c r="C19" s="273">
        <v>1.66E-2</v>
      </c>
      <c r="D19" s="274">
        <v>0.66233529999999996</v>
      </c>
      <c r="E19" s="273">
        <f t="shared" ref="E19:E27" si="0">ROUND((C19*D19),6)</f>
        <v>1.0995E-2</v>
      </c>
      <c r="F19" s="1157"/>
      <c r="G19" s="273">
        <v>1.6199999999999999E-2</v>
      </c>
      <c r="H19" s="274">
        <v>0.33766470000000004</v>
      </c>
      <c r="I19" s="273">
        <f t="shared" ref="I19:I27" si="1">ROUND((G19*H19),6)</f>
        <v>5.47E-3</v>
      </c>
      <c r="J19" s="1157"/>
      <c r="K19" s="267">
        <f>ROUND(E19+I19,4)</f>
        <v>1.6500000000000001E-2</v>
      </c>
    </row>
    <row r="20" spans="1:11" ht="15">
      <c r="A20" s="1158" t="s">
        <v>407</v>
      </c>
      <c r="B20" s="272">
        <v>352</v>
      </c>
      <c r="C20" s="273">
        <v>1.77E-2</v>
      </c>
      <c r="D20" s="274">
        <v>0.66233529999999996</v>
      </c>
      <c r="E20" s="273">
        <f t="shared" si="0"/>
        <v>1.1723000000000001E-2</v>
      </c>
      <c r="F20" s="1157"/>
      <c r="G20" s="273">
        <v>1.7399999999999999E-2</v>
      </c>
      <c r="H20" s="274">
        <v>0.33766470000000004</v>
      </c>
      <c r="I20" s="273">
        <f t="shared" si="1"/>
        <v>5.875E-3</v>
      </c>
      <c r="J20" s="1157"/>
      <c r="K20" s="267">
        <f t="shared" ref="K20:K27" si="2">ROUND(E20+I20,4)</f>
        <v>1.7600000000000001E-2</v>
      </c>
    </row>
    <row r="21" spans="1:11" ht="15">
      <c r="A21" s="1158" t="s">
        <v>408</v>
      </c>
      <c r="B21" s="272">
        <v>353</v>
      </c>
      <c r="C21" s="273">
        <v>2.4299999999999999E-2</v>
      </c>
      <c r="D21" s="274">
        <v>0.66233529999999996</v>
      </c>
      <c r="E21" s="273">
        <f t="shared" si="0"/>
        <v>1.6095000000000002E-2</v>
      </c>
      <c r="F21" s="1157"/>
      <c r="G21" s="273">
        <v>2.41E-2</v>
      </c>
      <c r="H21" s="274">
        <v>0.33766470000000004</v>
      </c>
      <c r="I21" s="273">
        <f t="shared" si="1"/>
        <v>8.1379999999999994E-3</v>
      </c>
      <c r="J21" s="1157"/>
      <c r="K21" s="267">
        <f t="shared" si="2"/>
        <v>2.4199999999999999E-2</v>
      </c>
    </row>
    <row r="22" spans="1:11" ht="15">
      <c r="A22" s="1158" t="s">
        <v>409</v>
      </c>
      <c r="B22" s="272">
        <v>354</v>
      </c>
      <c r="C22" s="273">
        <v>2.5700000000000001E-2</v>
      </c>
      <c r="D22" s="274">
        <v>0.66233529999999996</v>
      </c>
      <c r="E22" s="273">
        <f t="shared" si="0"/>
        <v>1.7021999999999999E-2</v>
      </c>
      <c r="F22" s="1157"/>
      <c r="G22" s="273">
        <v>2.4500000000000001E-2</v>
      </c>
      <c r="H22" s="274">
        <v>0.33766470000000004</v>
      </c>
      <c r="I22" s="273">
        <f t="shared" si="1"/>
        <v>8.2730000000000008E-3</v>
      </c>
      <c r="J22" s="1157"/>
      <c r="K22" s="267">
        <f t="shared" si="2"/>
        <v>2.53E-2</v>
      </c>
    </row>
    <row r="23" spans="1:11" ht="15">
      <c r="A23" s="1158" t="s">
        <v>410</v>
      </c>
      <c r="B23" s="272">
        <v>355</v>
      </c>
      <c r="C23" s="273">
        <v>3.1899999999999998E-2</v>
      </c>
      <c r="D23" s="274">
        <v>0.66233529999999996</v>
      </c>
      <c r="E23" s="273">
        <f t="shared" si="0"/>
        <v>2.1128000000000001E-2</v>
      </c>
      <c r="F23" s="1157"/>
      <c r="G23" s="273">
        <v>3.1699999999999999E-2</v>
      </c>
      <c r="H23" s="274">
        <v>0.33766470000000004</v>
      </c>
      <c r="I23" s="273">
        <f t="shared" si="1"/>
        <v>1.0704E-2</v>
      </c>
      <c r="J23" s="1157"/>
      <c r="K23" s="267">
        <f t="shared" si="2"/>
        <v>3.1800000000000002E-2</v>
      </c>
    </row>
    <row r="24" spans="1:11" ht="15">
      <c r="A24" s="1158" t="s">
        <v>771</v>
      </c>
      <c r="B24" s="272">
        <v>356</v>
      </c>
      <c r="C24" s="273">
        <v>2.35E-2</v>
      </c>
      <c r="D24" s="274">
        <v>0.66233529999999996</v>
      </c>
      <c r="E24" s="273">
        <f t="shared" si="0"/>
        <v>1.5565000000000001E-2</v>
      </c>
      <c r="F24" s="1157"/>
      <c r="G24" s="273">
        <v>2.2800000000000001E-2</v>
      </c>
      <c r="H24" s="274">
        <v>0.33766470000000004</v>
      </c>
      <c r="I24" s="273">
        <f t="shared" si="1"/>
        <v>7.6990000000000001E-3</v>
      </c>
      <c r="J24" s="1157"/>
      <c r="K24" s="267">
        <f t="shared" si="2"/>
        <v>2.3300000000000001E-2</v>
      </c>
    </row>
    <row r="25" spans="1:11" ht="15">
      <c r="A25" s="1158" t="s">
        <v>411</v>
      </c>
      <c r="B25" s="272">
        <v>357</v>
      </c>
      <c r="C25" s="273">
        <v>2.3E-2</v>
      </c>
      <c r="D25" s="274">
        <v>0.66233529999999996</v>
      </c>
      <c r="E25" s="273">
        <f t="shared" si="0"/>
        <v>1.5233999999999999E-2</v>
      </c>
      <c r="F25" s="1157"/>
      <c r="G25" s="273">
        <v>2.2100000000000002E-2</v>
      </c>
      <c r="H25" s="274">
        <v>0.33766470000000004</v>
      </c>
      <c r="I25" s="273">
        <f t="shared" si="1"/>
        <v>7.4619999999999999E-3</v>
      </c>
      <c r="J25" s="1157"/>
      <c r="K25" s="267">
        <f t="shared" si="2"/>
        <v>2.2700000000000001E-2</v>
      </c>
    </row>
    <row r="26" spans="1:11" ht="15">
      <c r="A26" s="1158" t="s">
        <v>412</v>
      </c>
      <c r="B26" s="272">
        <v>358</v>
      </c>
      <c r="C26" s="273">
        <v>1.9300000000000001E-2</v>
      </c>
      <c r="D26" s="274">
        <v>0.66233529999999996</v>
      </c>
      <c r="E26" s="273">
        <f t="shared" si="0"/>
        <v>1.2782999999999999E-2</v>
      </c>
      <c r="F26" s="1157"/>
      <c r="G26" s="273">
        <v>1.9E-2</v>
      </c>
      <c r="H26" s="274">
        <v>0.33766470000000004</v>
      </c>
      <c r="I26" s="273">
        <f t="shared" si="1"/>
        <v>6.4159999999999998E-3</v>
      </c>
      <c r="J26" s="1157"/>
      <c r="K26" s="267">
        <f t="shared" si="2"/>
        <v>1.9199999999999998E-2</v>
      </c>
    </row>
    <row r="27" spans="1:11" ht="15">
      <c r="A27" s="1158" t="s">
        <v>772</v>
      </c>
      <c r="B27" s="272">
        <v>359</v>
      </c>
      <c r="C27" s="273">
        <v>1.61E-2</v>
      </c>
      <c r="D27" s="274">
        <v>0.66233529999999996</v>
      </c>
      <c r="E27" s="273">
        <f t="shared" si="0"/>
        <v>1.0664E-2</v>
      </c>
      <c r="F27" s="1157"/>
      <c r="G27" s="273">
        <v>1.5900000000000001E-2</v>
      </c>
      <c r="H27" s="274">
        <v>0.33766470000000004</v>
      </c>
      <c r="I27" s="273">
        <f t="shared" si="1"/>
        <v>5.3689999999999996E-3</v>
      </c>
      <c r="J27" s="1157"/>
      <c r="K27" s="267">
        <f t="shared" si="2"/>
        <v>1.6E-2</v>
      </c>
    </row>
    <row r="28" spans="1:11" ht="15">
      <c r="A28" s="1152"/>
      <c r="B28" s="1152"/>
      <c r="C28" s="1152"/>
      <c r="D28" s="1152"/>
      <c r="E28" s="1152"/>
      <c r="F28" s="1152"/>
      <c r="G28" s="1152"/>
      <c r="H28" s="1152"/>
      <c r="I28" s="1152"/>
      <c r="J28" s="1152"/>
      <c r="K28" s="1152"/>
    </row>
    <row r="29" spans="1:11" ht="15.75" thickBot="1">
      <c r="A29" s="1152"/>
      <c r="B29" s="1152"/>
      <c r="C29" s="1152"/>
      <c r="D29" s="1152"/>
      <c r="E29" s="1152"/>
      <c r="F29" s="1152"/>
      <c r="G29" s="1152"/>
      <c r="H29" s="1152"/>
      <c r="I29" s="1152"/>
      <c r="J29" s="1152"/>
      <c r="K29" s="1152"/>
    </row>
    <row r="30" spans="1:11" ht="15">
      <c r="A30" s="1362" t="s">
        <v>1168</v>
      </c>
      <c r="B30" s="1363"/>
      <c r="C30" s="1567"/>
      <c r="D30" s="1365"/>
      <c r="E30" s="1366"/>
      <c r="F30" s="1363"/>
      <c r="G30" s="1367"/>
      <c r="H30" s="1365"/>
      <c r="I30" s="1366"/>
      <c r="J30" s="1363"/>
      <c r="K30" s="1152"/>
    </row>
    <row r="31" spans="1:11" ht="15">
      <c r="A31" s="1568"/>
      <c r="B31" s="272">
        <v>390</v>
      </c>
      <c r="C31" s="273">
        <v>2.0799999999999999E-2</v>
      </c>
      <c r="D31" s="274">
        <v>0.68186831634107659</v>
      </c>
      <c r="E31" s="273">
        <f t="shared" ref="E31:E39" si="3">ROUND((C31*D31),6)</f>
        <v>1.4182999999999999E-2</v>
      </c>
      <c r="F31" s="1157"/>
      <c r="G31" s="273">
        <v>2.0799999999999999E-2</v>
      </c>
      <c r="H31" s="274">
        <v>0.31813168365892341</v>
      </c>
      <c r="I31" s="273">
        <f t="shared" ref="I31:I39" si="4">ROUND((G31*H31),6)</f>
        <v>6.6169999999999996E-3</v>
      </c>
      <c r="J31" s="1569"/>
      <c r="K31" s="267">
        <f t="shared" ref="K31:K39" si="5">ROUND(E31+I31,4)</f>
        <v>2.0799999999999999E-2</v>
      </c>
    </row>
    <row r="32" spans="1:11" ht="15">
      <c r="A32" s="1568"/>
      <c r="B32" s="272">
        <v>391</v>
      </c>
      <c r="C32" s="273">
        <v>4.7899999999999998E-2</v>
      </c>
      <c r="D32" s="274">
        <v>0.68186831634107659</v>
      </c>
      <c r="E32" s="273">
        <f t="shared" si="3"/>
        <v>3.2661000000000003E-2</v>
      </c>
      <c r="F32" s="1157"/>
      <c r="G32" s="273">
        <v>4.8399999999999999E-2</v>
      </c>
      <c r="H32" s="274">
        <v>0.31813168365892341</v>
      </c>
      <c r="I32" s="273">
        <f t="shared" si="4"/>
        <v>1.5398E-2</v>
      </c>
      <c r="J32" s="1569"/>
      <c r="K32" s="267">
        <f t="shared" si="5"/>
        <v>4.8099999999999997E-2</v>
      </c>
    </row>
    <row r="33" spans="1:11" ht="15">
      <c r="A33" s="1570" t="s">
        <v>1276</v>
      </c>
      <c r="B33" s="272">
        <v>392</v>
      </c>
      <c r="C33" s="273">
        <v>4.6399999999999997E-2</v>
      </c>
      <c r="D33" s="274">
        <v>0.68186831634107659</v>
      </c>
      <c r="E33" s="273">
        <f t="shared" si="3"/>
        <v>3.1639E-2</v>
      </c>
      <c r="F33" s="1157"/>
      <c r="G33" s="273">
        <v>4.6800000000000001E-2</v>
      </c>
      <c r="H33" s="274">
        <v>0.31813168365892341</v>
      </c>
      <c r="I33" s="273">
        <f t="shared" si="4"/>
        <v>1.4888999999999999E-2</v>
      </c>
      <c r="J33" s="1569"/>
      <c r="K33" s="267">
        <f t="shared" si="5"/>
        <v>4.65E-2</v>
      </c>
    </row>
    <row r="34" spans="1:11" ht="15">
      <c r="A34" s="1568"/>
      <c r="B34" s="272">
        <v>393</v>
      </c>
      <c r="C34" s="273">
        <v>7.3499999999999996E-2</v>
      </c>
      <c r="D34" s="274">
        <v>0.68186831634107659</v>
      </c>
      <c r="E34" s="273">
        <f t="shared" si="3"/>
        <v>5.0117000000000002E-2</v>
      </c>
      <c r="F34" s="1157"/>
      <c r="G34" s="273">
        <v>7.3800000000000004E-2</v>
      </c>
      <c r="H34" s="274">
        <v>0.31813168365892341</v>
      </c>
      <c r="I34" s="273">
        <f t="shared" si="4"/>
        <v>2.3477999999999999E-2</v>
      </c>
      <c r="J34" s="1569"/>
      <c r="K34" s="267">
        <f t="shared" si="5"/>
        <v>7.3599999999999999E-2</v>
      </c>
    </row>
    <row r="35" spans="1:11" ht="15">
      <c r="A35" s="1568"/>
      <c r="B35" s="272">
        <v>394</v>
      </c>
      <c r="C35" s="273">
        <v>6.9900000000000004E-2</v>
      </c>
      <c r="D35" s="274">
        <v>0.68186831634107659</v>
      </c>
      <c r="E35" s="273">
        <f t="shared" si="3"/>
        <v>4.7662999999999997E-2</v>
      </c>
      <c r="F35" s="1157"/>
      <c r="G35" s="273">
        <v>7.0699999999999999E-2</v>
      </c>
      <c r="H35" s="274">
        <v>0.31813168365892341</v>
      </c>
      <c r="I35" s="273">
        <f t="shared" si="4"/>
        <v>2.2492000000000002E-2</v>
      </c>
      <c r="J35" s="1569"/>
      <c r="K35" s="267">
        <f t="shared" si="5"/>
        <v>7.0199999999999999E-2</v>
      </c>
    </row>
    <row r="36" spans="1:11" ht="15">
      <c r="A36" s="1568"/>
      <c r="B36" s="272">
        <v>395</v>
      </c>
      <c r="C36" s="273">
        <v>5.4100000000000002E-2</v>
      </c>
      <c r="D36" s="274">
        <v>0.68186831634107659</v>
      </c>
      <c r="E36" s="273">
        <f t="shared" si="3"/>
        <v>3.6888999999999998E-2</v>
      </c>
      <c r="F36" s="1157"/>
      <c r="G36" s="273">
        <v>5.4600000000000003E-2</v>
      </c>
      <c r="H36" s="274">
        <v>0.31813168365892341</v>
      </c>
      <c r="I36" s="273">
        <f t="shared" si="4"/>
        <v>1.737E-2</v>
      </c>
      <c r="J36" s="1569"/>
      <c r="K36" s="267">
        <f t="shared" si="5"/>
        <v>5.4300000000000001E-2</v>
      </c>
    </row>
    <row r="37" spans="1:11" ht="15">
      <c r="A37" s="1568"/>
      <c r="B37" s="272">
        <v>396</v>
      </c>
      <c r="C37" s="273">
        <v>4.8099999999999997E-2</v>
      </c>
      <c r="D37" s="274">
        <v>0.68186831634107659</v>
      </c>
      <c r="E37" s="273">
        <f t="shared" si="3"/>
        <v>3.2798000000000001E-2</v>
      </c>
      <c r="F37" s="1157"/>
      <c r="G37" s="273">
        <v>4.9000000000000002E-2</v>
      </c>
      <c r="H37" s="274">
        <v>0.31813168365892341</v>
      </c>
      <c r="I37" s="273">
        <f t="shared" si="4"/>
        <v>1.5587999999999999E-2</v>
      </c>
      <c r="J37" s="1569"/>
      <c r="K37" s="267">
        <f t="shared" si="5"/>
        <v>4.8399999999999999E-2</v>
      </c>
    </row>
    <row r="38" spans="1:11" ht="15">
      <c r="A38" s="1568"/>
      <c r="B38" s="272">
        <v>397</v>
      </c>
      <c r="C38" s="273">
        <v>3.9100000000000003E-2</v>
      </c>
      <c r="D38" s="274">
        <v>0.68186831634107659</v>
      </c>
      <c r="E38" s="273">
        <f t="shared" si="3"/>
        <v>2.6661000000000001E-2</v>
      </c>
      <c r="F38" s="1157"/>
      <c r="G38" s="273">
        <v>3.9300000000000002E-2</v>
      </c>
      <c r="H38" s="274">
        <v>0.31813168365892341</v>
      </c>
      <c r="I38" s="273">
        <f t="shared" si="4"/>
        <v>1.2503E-2</v>
      </c>
      <c r="J38" s="1569"/>
      <c r="K38" s="267">
        <f t="shared" si="5"/>
        <v>3.9199999999999999E-2</v>
      </c>
    </row>
    <row r="39" spans="1:11" ht="15">
      <c r="A39" s="1568"/>
      <c r="B39" s="272">
        <v>398</v>
      </c>
      <c r="C39" s="273">
        <v>3.32E-2</v>
      </c>
      <c r="D39" s="274">
        <v>0.68186831634107659</v>
      </c>
      <c r="E39" s="273">
        <f t="shared" si="3"/>
        <v>2.2637999999999998E-2</v>
      </c>
      <c r="F39" s="1157"/>
      <c r="G39" s="273">
        <v>3.3500000000000002E-2</v>
      </c>
      <c r="H39" s="274">
        <v>0.31813168365892341</v>
      </c>
      <c r="I39" s="273">
        <f t="shared" si="4"/>
        <v>1.0657E-2</v>
      </c>
      <c r="J39" s="1569"/>
      <c r="K39" s="267">
        <f t="shared" si="5"/>
        <v>3.3300000000000003E-2</v>
      </c>
    </row>
    <row r="40" spans="1:11" ht="15.75" thickBot="1">
      <c r="A40" s="1368"/>
      <c r="B40" s="1369"/>
      <c r="C40" s="1370"/>
      <c r="D40" s="1371"/>
      <c r="E40" s="1372"/>
      <c r="F40" s="1369"/>
      <c r="G40" s="1372"/>
      <c r="H40" s="1371"/>
      <c r="I40" s="1372"/>
      <c r="J40" s="1369"/>
      <c r="K40" s="1152"/>
    </row>
    <row r="41" spans="1:11" ht="15">
      <c r="A41" s="1152"/>
      <c r="B41" s="1152"/>
      <c r="C41" s="1152"/>
      <c r="D41" s="1152"/>
      <c r="E41" s="1152"/>
      <c r="F41" s="1152"/>
      <c r="G41" s="1152"/>
      <c r="H41" s="1152"/>
      <c r="I41" s="1152"/>
      <c r="J41" s="1152"/>
      <c r="K41" s="1152"/>
    </row>
    <row r="42" spans="1:11" ht="15">
      <c r="A42" s="1152"/>
      <c r="B42" s="1152"/>
      <c r="C42" s="1152"/>
      <c r="D42" s="1152"/>
      <c r="E42" s="1152"/>
      <c r="F42" s="1152"/>
      <c r="G42" s="1152"/>
      <c r="H42" s="1152"/>
      <c r="I42" s="1152"/>
      <c r="J42" s="1152"/>
      <c r="K42" s="1152"/>
    </row>
    <row r="43" spans="1:11" ht="15">
      <c r="A43" s="1152"/>
      <c r="B43" s="1149"/>
      <c r="C43" s="267"/>
      <c r="D43" s="1152"/>
      <c r="E43" s="1152"/>
      <c r="F43" s="1152"/>
      <c r="G43" s="1153"/>
      <c r="H43" s="1152"/>
      <c r="I43" s="1152"/>
      <c r="J43" s="1152"/>
      <c r="K43" s="1152"/>
    </row>
    <row r="44" spans="1:11" ht="15.75">
      <c r="A44" s="1150" t="s">
        <v>1292</v>
      </c>
      <c r="B44" s="1159"/>
      <c r="C44" s="275"/>
      <c r="D44" s="1159"/>
      <c r="E44" s="1152"/>
      <c r="F44" s="1159"/>
      <c r="G44" s="1152"/>
      <c r="H44" s="1149"/>
      <c r="I44" s="1152"/>
      <c r="J44" s="1152"/>
      <c r="K44" s="1152"/>
    </row>
    <row r="45" spans="1:11" ht="15.75">
      <c r="A45" s="1150" t="s">
        <v>1293</v>
      </c>
      <c r="B45" s="1159"/>
      <c r="C45" s="275"/>
      <c r="D45" s="1159"/>
      <c r="E45" s="1159"/>
      <c r="F45" s="1159"/>
      <c r="G45" s="1152"/>
      <c r="H45" s="1149"/>
      <c r="I45" s="1152"/>
      <c r="J45" s="1152"/>
      <c r="K45" s="1152"/>
    </row>
    <row r="46" spans="1:11" ht="15.75">
      <c r="A46" s="1150" t="s">
        <v>1294</v>
      </c>
      <c r="B46" s="1159"/>
      <c r="C46" s="275"/>
      <c r="D46" s="1308"/>
      <c r="E46" s="1308"/>
      <c r="F46" s="1308"/>
      <c r="G46" s="1152"/>
      <c r="H46" s="1152"/>
      <c r="I46" s="1152"/>
      <c r="J46" s="1152"/>
      <c r="K46" s="1152"/>
    </row>
    <row r="47" spans="1:11" ht="15">
      <c r="A47" s="1756" t="s">
        <v>773</v>
      </c>
      <c r="B47" s="1757"/>
      <c r="C47" s="1757"/>
      <c r="D47" s="1757"/>
      <c r="E47" s="1757"/>
      <c r="F47" s="1757"/>
      <c r="G47" s="1757"/>
      <c r="H47" s="1757"/>
      <c r="I47" s="1757"/>
      <c r="J47" s="1757"/>
      <c r="K47" s="1152"/>
    </row>
    <row r="48" spans="1:11" ht="15">
      <c r="A48" s="1757"/>
      <c r="B48" s="1757"/>
      <c r="C48" s="1757"/>
      <c r="D48" s="1757"/>
      <c r="E48" s="1757"/>
      <c r="F48" s="1757"/>
      <c r="G48" s="1757"/>
      <c r="H48" s="1757"/>
      <c r="I48" s="1757"/>
      <c r="J48" s="1757"/>
      <c r="K48" s="1152"/>
    </row>
    <row r="49" spans="1:11" ht="22.5" customHeight="1">
      <c r="A49" s="1757"/>
      <c r="B49" s="1757"/>
      <c r="C49" s="1757"/>
      <c r="D49" s="1757"/>
      <c r="E49" s="1757"/>
      <c r="F49" s="1757"/>
      <c r="G49" s="1757"/>
      <c r="H49" s="1757"/>
      <c r="I49" s="1757"/>
      <c r="J49" s="1757"/>
      <c r="K49" s="1152"/>
    </row>
    <row r="50" spans="1:11" ht="15.75">
      <c r="A50" s="1152"/>
      <c r="B50" s="1159"/>
      <c r="C50" s="275"/>
      <c r="D50" s="1308"/>
      <c r="E50" s="1308"/>
      <c r="F50" s="1308"/>
      <c r="G50" s="1153"/>
      <c r="H50" s="1152"/>
      <c r="I50" s="1152"/>
      <c r="J50" s="1152"/>
      <c r="K50" s="1152"/>
    </row>
    <row r="51" spans="1:11" ht="15.75">
      <c r="A51" s="1160" t="s">
        <v>413</v>
      </c>
      <c r="B51" s="1149"/>
      <c r="C51" s="267"/>
      <c r="D51" s="1152"/>
      <c r="E51" s="1152"/>
      <c r="F51" s="1152"/>
      <c r="G51" s="1153"/>
      <c r="H51" s="1152"/>
      <c r="I51" s="1152"/>
      <c r="J51" s="1152"/>
      <c r="K51" s="1152"/>
    </row>
    <row r="52" spans="1:11" ht="15">
      <c r="A52" s="1571" t="s">
        <v>29</v>
      </c>
      <c r="B52" s="1572"/>
      <c r="C52" s="1572"/>
      <c r="D52" s="1573"/>
      <c r="E52" s="1152"/>
      <c r="F52" s="1152"/>
      <c r="G52" s="1153"/>
      <c r="H52" s="1152"/>
      <c r="I52" s="1152"/>
      <c r="J52" s="1152"/>
      <c r="K52" s="1152"/>
    </row>
    <row r="53" spans="1:11" ht="15">
      <c r="A53" s="1758" t="s">
        <v>774</v>
      </c>
      <c r="B53" s="1758"/>
      <c r="C53" s="1758"/>
      <c r="D53" s="1758"/>
      <c r="E53" s="1758"/>
      <c r="F53" s="1758"/>
      <c r="G53" s="1758"/>
      <c r="H53" s="1758"/>
      <c r="I53" s="1758"/>
      <c r="J53" s="1758"/>
      <c r="K53" s="1152"/>
    </row>
    <row r="54" spans="1:11" ht="15">
      <c r="A54" s="1758"/>
      <c r="B54" s="1758"/>
      <c r="C54" s="1758"/>
      <c r="D54" s="1758"/>
      <c r="E54" s="1758"/>
      <c r="F54" s="1758"/>
      <c r="G54" s="1758"/>
      <c r="H54" s="1758"/>
      <c r="I54" s="1758"/>
      <c r="J54" s="1758"/>
      <c r="K54" s="1152"/>
    </row>
    <row r="55" spans="1:11" ht="15">
      <c r="A55" s="1753" t="s">
        <v>822</v>
      </c>
      <c r="B55" s="1753"/>
      <c r="C55" s="1753"/>
      <c r="D55" s="1753"/>
      <c r="E55" s="1753"/>
      <c r="F55" s="1753"/>
      <c r="G55" s="1753"/>
      <c r="H55" s="1753"/>
      <c r="I55" s="1753"/>
      <c r="J55" s="1753"/>
      <c r="K55" s="1152"/>
    </row>
    <row r="56" spans="1:11" ht="15">
      <c r="A56" s="1753"/>
      <c r="B56" s="1753"/>
      <c r="C56" s="1753"/>
      <c r="D56" s="1753"/>
      <c r="E56" s="1753"/>
      <c r="F56" s="1753"/>
      <c r="G56" s="1753"/>
      <c r="H56" s="1753"/>
      <c r="I56" s="1753"/>
      <c r="J56" s="1753"/>
      <c r="K56" s="1152"/>
    </row>
    <row r="57" spans="1:11" ht="15">
      <c r="A57" s="1152"/>
      <c r="B57" s="1152"/>
      <c r="C57" s="1152"/>
      <c r="D57" s="1152"/>
      <c r="E57" s="1152"/>
      <c r="F57" s="1152"/>
      <c r="G57" s="1153"/>
      <c r="H57" s="1152"/>
      <c r="I57" s="1152"/>
      <c r="J57" s="1152"/>
      <c r="K57" s="1152"/>
    </row>
    <row r="58" spans="1:11" ht="15">
      <c r="A58" s="1152"/>
      <c r="B58" s="1152"/>
      <c r="C58" s="1152"/>
      <c r="D58" s="1152"/>
      <c r="E58" s="1152"/>
      <c r="F58" s="1152"/>
      <c r="G58" s="1153"/>
      <c r="H58" s="1152"/>
      <c r="I58" s="1152"/>
      <c r="J58" s="1152"/>
      <c r="K58" s="1152"/>
    </row>
    <row r="59" spans="1:11" ht="15">
      <c r="A59" s="1152"/>
      <c r="B59" s="1152"/>
      <c r="C59" s="1152"/>
      <c r="D59" s="1152"/>
      <c r="E59" s="1152"/>
      <c r="F59" s="1152"/>
      <c r="G59" s="1153"/>
      <c r="H59" s="1152"/>
      <c r="I59" s="1152"/>
      <c r="J59" s="1152"/>
      <c r="K59" s="1152"/>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48" customWidth="1"/>
    <col min="2" max="2" width="17.140625" style="1148" customWidth="1"/>
    <col min="3" max="3" width="23.42578125" style="1148" customWidth="1"/>
    <col min="4" max="4" width="9.140625" style="1148"/>
    <col min="5" max="5" width="21.85546875" style="1148" customWidth="1"/>
    <col min="6" max="16384" width="9.140625" style="1148"/>
  </cols>
  <sheetData>
    <row r="1" spans="1:7" s="772" customFormat="1" ht="15.75">
      <c r="A1" s="898" t="s">
        <v>114</v>
      </c>
      <c r="G1" s="273"/>
    </row>
    <row r="2" spans="1:7" s="772" customFormat="1" ht="15.75">
      <c r="A2" s="898" t="s">
        <v>114</v>
      </c>
      <c r="G2" s="273"/>
    </row>
    <row r="3" spans="1:7" ht="19.5">
      <c r="A3" s="1152"/>
      <c r="B3" s="1759" t="s">
        <v>391</v>
      </c>
      <c r="C3" s="1759"/>
      <c r="D3" s="1759"/>
      <c r="E3" s="1759"/>
    </row>
    <row r="4" spans="1:7" ht="19.5">
      <c r="A4" s="1152"/>
      <c r="B4" s="1759" t="s">
        <v>775</v>
      </c>
      <c r="C4" s="1759"/>
      <c r="D4" s="1759"/>
      <c r="E4" s="1759"/>
    </row>
    <row r="5" spans="1:7" ht="19.5">
      <c r="A5" s="1152"/>
      <c r="B5" s="1759" t="s">
        <v>776</v>
      </c>
      <c r="C5" s="1759"/>
      <c r="D5" s="1759"/>
      <c r="E5" s="1759"/>
    </row>
    <row r="6" spans="1:7" ht="19.5">
      <c r="A6" s="1152"/>
      <c r="B6" s="1759" t="s">
        <v>777</v>
      </c>
      <c r="C6" s="1759"/>
      <c r="D6" s="1759"/>
      <c r="E6" s="1759"/>
    </row>
    <row r="7" spans="1:7" ht="19.5">
      <c r="A7" s="1152"/>
      <c r="B7" s="1759" t="s">
        <v>778</v>
      </c>
      <c r="C7" s="1759"/>
      <c r="D7" s="1759"/>
      <c r="E7" s="1759"/>
    </row>
    <row r="8" spans="1:7" ht="19.5">
      <c r="A8" s="1152"/>
      <c r="B8" s="1759" t="s">
        <v>779</v>
      </c>
      <c r="C8" s="1759"/>
      <c r="D8" s="1759"/>
      <c r="E8" s="1759"/>
    </row>
    <row r="9" spans="1:7" ht="15">
      <c r="A9" s="1152"/>
      <c r="B9" s="1149"/>
      <c r="C9" s="1149"/>
      <c r="D9" s="1151" t="s">
        <v>114</v>
      </c>
      <c r="E9" s="1152"/>
    </row>
    <row r="10" spans="1:7" ht="15.75">
      <c r="A10" s="1149"/>
      <c r="B10" s="1161" t="s">
        <v>399</v>
      </c>
      <c r="C10" s="1152"/>
      <c r="D10" s="1152"/>
      <c r="E10" s="1162"/>
    </row>
    <row r="11" spans="1:7" ht="15.75">
      <c r="A11" s="1151"/>
      <c r="B11" s="1161" t="s">
        <v>403</v>
      </c>
      <c r="C11" s="1161" t="s">
        <v>404</v>
      </c>
      <c r="D11" s="1161"/>
      <c r="E11" s="1152"/>
    </row>
    <row r="12" spans="1:7" ht="15.75" thickBot="1">
      <c r="A12" s="1154"/>
      <c r="B12" s="1149"/>
      <c r="C12" s="1163" t="s">
        <v>499</v>
      </c>
      <c r="D12" s="1152"/>
      <c r="E12" s="1152"/>
    </row>
    <row r="13" spans="1:7" ht="15">
      <c r="A13" s="1155" t="s">
        <v>406</v>
      </c>
      <c r="B13" s="1156"/>
      <c r="C13" s="268"/>
      <c r="D13" s="1152"/>
      <c r="E13" s="1152"/>
    </row>
    <row r="14" spans="1:7" ht="15">
      <c r="A14" s="1152"/>
      <c r="B14" s="1164"/>
      <c r="C14" s="267"/>
      <c r="D14" s="1165"/>
      <c r="E14" s="1152"/>
    </row>
    <row r="15" spans="1:7" ht="15">
      <c r="A15" s="1152" t="s">
        <v>407</v>
      </c>
      <c r="B15" s="272">
        <v>352</v>
      </c>
      <c r="C15" s="267">
        <v>1.04E-2</v>
      </c>
      <c r="D15" s="1165"/>
      <c r="E15" s="1152"/>
    </row>
    <row r="16" spans="1:7" ht="15">
      <c r="A16" s="1152" t="s">
        <v>408</v>
      </c>
      <c r="B16" s="272">
        <v>353</v>
      </c>
      <c r="C16" s="267">
        <v>1.49E-2</v>
      </c>
      <c r="D16" s="1165"/>
      <c r="E16" s="1152"/>
    </row>
    <row r="17" spans="1:5" ht="15">
      <c r="A17" s="1152" t="s">
        <v>409</v>
      </c>
      <c r="B17" s="272">
        <v>354</v>
      </c>
      <c r="C17" s="267">
        <v>1.1999999999999999E-3</v>
      </c>
      <c r="D17" s="1165"/>
      <c r="E17" s="1152"/>
    </row>
    <row r="18" spans="1:5" ht="15">
      <c r="A18" s="1152" t="s">
        <v>410</v>
      </c>
      <c r="B18" s="272">
        <v>355</v>
      </c>
      <c r="C18" s="267">
        <v>2.1399999999999999E-2</v>
      </c>
      <c r="D18" s="1165"/>
      <c r="E18" s="1152"/>
    </row>
    <row r="19" spans="1:5" ht="15">
      <c r="A19" s="1152" t="s">
        <v>771</v>
      </c>
      <c r="B19" s="272">
        <v>356</v>
      </c>
      <c r="C19" s="267">
        <v>7.7000000000000002E-3</v>
      </c>
      <c r="D19" s="1165"/>
      <c r="E19" s="1152"/>
    </row>
    <row r="20" spans="1:5" ht="15">
      <c r="A20" s="1158" t="s">
        <v>411</v>
      </c>
      <c r="B20" s="272">
        <v>357</v>
      </c>
      <c r="C20" s="1166" t="s">
        <v>615</v>
      </c>
      <c r="D20" s="1152"/>
      <c r="E20" s="1152"/>
    </row>
    <row r="21" spans="1:5" ht="15">
      <c r="A21" s="1158" t="s">
        <v>412</v>
      </c>
      <c r="B21" s="272">
        <v>358</v>
      </c>
      <c r="C21" s="1166" t="s">
        <v>615</v>
      </c>
      <c r="D21" s="1165"/>
      <c r="E21" s="1152"/>
    </row>
    <row r="22" spans="1:5" ht="15.75">
      <c r="A22" s="1150" t="s">
        <v>780</v>
      </c>
      <c r="B22" s="1167"/>
      <c r="C22" s="1168">
        <v>1.46E-2</v>
      </c>
      <c r="D22" s="1165"/>
      <c r="E22" s="1152"/>
    </row>
    <row r="23" spans="1:5" ht="15.75">
      <c r="A23" s="1150"/>
      <c r="B23" s="1167"/>
      <c r="C23" s="1168"/>
      <c r="D23" s="1165"/>
      <c r="E23" s="1152"/>
    </row>
    <row r="24" spans="1:5" s="3" customFormat="1" ht="15.75">
      <c r="A24" s="1175" t="s">
        <v>806</v>
      </c>
      <c r="C24" s="1"/>
    </row>
    <row r="25" spans="1:5" s="3" customFormat="1">
      <c r="C25" s="1"/>
    </row>
    <row r="26" spans="1:5" s="3" customFormat="1" ht="15">
      <c r="A26" s="1176" t="s">
        <v>807</v>
      </c>
      <c r="B26" s="1180">
        <v>390</v>
      </c>
      <c r="C26" s="1179">
        <v>1.7100000000000001E-2</v>
      </c>
    </row>
    <row r="27" spans="1:5" s="3" customFormat="1" ht="15">
      <c r="A27" s="1176" t="s">
        <v>808</v>
      </c>
      <c r="B27" s="1180">
        <v>391</v>
      </c>
      <c r="C27" s="1179">
        <v>2.8199999999999999E-2</v>
      </c>
    </row>
    <row r="28" spans="1:5" s="3" customFormat="1" ht="15">
      <c r="A28" s="1176" t="s">
        <v>809</v>
      </c>
      <c r="B28" s="1180">
        <v>393</v>
      </c>
      <c r="C28" s="1179">
        <v>2.2200000000000001E-2</v>
      </c>
    </row>
    <row r="29" spans="1:5" s="3" customFormat="1" ht="15">
      <c r="A29" s="1176" t="s">
        <v>810</v>
      </c>
      <c r="B29" s="1180">
        <v>394</v>
      </c>
      <c r="C29" s="1179">
        <v>3.1199999999999999E-2</v>
      </c>
    </row>
    <row r="30" spans="1:5" s="3" customFormat="1" ht="15">
      <c r="A30" s="1176" t="s">
        <v>811</v>
      </c>
      <c r="B30" s="1180">
        <v>395</v>
      </c>
      <c r="C30" s="1179">
        <v>3.1699999999999999E-2</v>
      </c>
    </row>
    <row r="31" spans="1:5" s="3" customFormat="1" ht="15">
      <c r="A31" s="1176" t="s">
        <v>812</v>
      </c>
      <c r="B31" s="1180">
        <v>397</v>
      </c>
      <c r="C31" s="1179">
        <v>3.32E-2</v>
      </c>
    </row>
    <row r="32" spans="1:5" s="3" customFormat="1" ht="15">
      <c r="A32" s="1176" t="s">
        <v>813</v>
      </c>
      <c r="B32" s="1180">
        <v>398</v>
      </c>
      <c r="C32" s="1179">
        <v>4.9200000000000001E-2</v>
      </c>
    </row>
    <row r="33" spans="1:5" s="3" customFormat="1" ht="15">
      <c r="A33" s="38"/>
      <c r="B33" s="1176"/>
      <c r="C33" s="1179"/>
    </row>
    <row r="34" spans="1:5" s="3" customFormat="1" ht="15.75">
      <c r="A34" s="38"/>
      <c r="B34" s="1178" t="s">
        <v>814</v>
      </c>
      <c r="C34" s="1179">
        <v>3.2500000000000001E-2</v>
      </c>
    </row>
    <row r="35" spans="1:5" s="3" customFormat="1" ht="15.75">
      <c r="A35" s="38"/>
      <c r="B35" s="1178"/>
      <c r="C35" s="1177"/>
    </row>
    <row r="36" spans="1:5" ht="15.75">
      <c r="A36" s="1152" t="s">
        <v>781</v>
      </c>
      <c r="B36" s="1159"/>
      <c r="C36" s="275"/>
      <c r="D36" s="1152"/>
      <c r="E36" s="1152"/>
    </row>
    <row r="37" spans="1:5" ht="15">
      <c r="A37" s="1760"/>
      <c r="B37" s="1760"/>
      <c r="C37" s="1760"/>
      <c r="D37" s="1760"/>
      <c r="E37" s="1152"/>
    </row>
    <row r="38" spans="1:5" ht="15">
      <c r="A38" s="1760" t="s">
        <v>782</v>
      </c>
      <c r="B38" s="1760"/>
      <c r="C38" s="1760"/>
      <c r="D38" s="1760"/>
      <c r="E38" s="1152"/>
    </row>
    <row r="39" spans="1:5" ht="15">
      <c r="A39" s="1169" t="s">
        <v>158</v>
      </c>
      <c r="B39" s="1169"/>
      <c r="C39" s="1169"/>
      <c r="D39" s="1169"/>
      <c r="E39" s="1152"/>
    </row>
    <row r="40" spans="1:5" ht="15">
      <c r="A40" s="1760" t="s">
        <v>783</v>
      </c>
      <c r="B40" s="1760"/>
      <c r="C40" s="1760"/>
      <c r="D40" s="1152"/>
      <c r="E40" s="1152"/>
    </row>
    <row r="41" spans="1:5" ht="15">
      <c r="A41" s="1760"/>
      <c r="B41" s="1760"/>
      <c r="C41" s="1760"/>
      <c r="D41" s="1152"/>
      <c r="E41" s="1152"/>
    </row>
    <row r="42" spans="1:5" ht="15">
      <c r="A42" s="1152"/>
      <c r="B42" s="1149"/>
      <c r="C42" s="267"/>
      <c r="D42" s="1152"/>
      <c r="E42" s="1152"/>
    </row>
    <row r="43" spans="1:5" ht="15">
      <c r="A43" s="1760"/>
      <c r="B43" s="1760"/>
      <c r="C43" s="1760"/>
      <c r="D43" s="1760"/>
      <c r="E43" s="1152"/>
    </row>
    <row r="44" spans="1:5" ht="15.75">
      <c r="A44" s="1160" t="s">
        <v>784</v>
      </c>
      <c r="B44" s="1149"/>
      <c r="C44" s="267"/>
      <c r="D44" s="1152"/>
      <c r="E44" s="1152"/>
    </row>
    <row r="45" spans="1:5" ht="15">
      <c r="A45" s="1761" t="s">
        <v>822</v>
      </c>
      <c r="B45" s="1761"/>
      <c r="C45" s="1761"/>
      <c r="D45" s="1162"/>
      <c r="E45" s="1152"/>
    </row>
    <row r="46" spans="1:5" ht="15">
      <c r="A46" s="1761"/>
      <c r="B46" s="1761"/>
      <c r="C46" s="1761"/>
      <c r="D46" s="1162"/>
      <c r="E46" s="1152"/>
    </row>
    <row r="47" spans="1:5" ht="15">
      <c r="A47" s="1761"/>
      <c r="B47" s="1761"/>
      <c r="C47" s="1761"/>
      <c r="D47" s="1162"/>
      <c r="E47" s="1152"/>
    </row>
    <row r="48" spans="1:5" ht="15">
      <c r="A48" s="1761"/>
      <c r="B48" s="1761"/>
      <c r="C48" s="1761"/>
      <c r="D48" s="1162"/>
      <c r="E48" s="1152"/>
    </row>
    <row r="49" spans="1:5" ht="15">
      <c r="A49" s="1761"/>
      <c r="B49" s="1761"/>
      <c r="C49" s="1761"/>
      <c r="D49" s="1162"/>
      <c r="E49" s="1152"/>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48"/>
    <col min="2" max="2" width="38.5703125" style="1148" customWidth="1"/>
    <col min="3" max="3" width="21.85546875" style="1148" customWidth="1"/>
    <col min="4" max="4" width="25.85546875" style="1148" customWidth="1"/>
    <col min="5" max="16384" width="9.140625" style="1148"/>
  </cols>
  <sheetData>
    <row r="1" spans="1:7" s="772" customFormat="1" ht="15.75">
      <c r="A1" s="898" t="s">
        <v>114</v>
      </c>
      <c r="G1" s="273"/>
    </row>
    <row r="2" spans="1:7" s="772" customFormat="1" ht="15.75">
      <c r="A2" s="898" t="s">
        <v>114</v>
      </c>
      <c r="G2" s="273"/>
    </row>
    <row r="3" spans="1:7" ht="19.5">
      <c r="A3" s="1152"/>
      <c r="B3" s="1759" t="s">
        <v>391</v>
      </c>
      <c r="C3" s="1759"/>
      <c r="D3" s="1759"/>
      <c r="E3" s="1759"/>
    </row>
    <row r="4" spans="1:7" ht="19.5">
      <c r="A4" s="1152"/>
      <c r="B4" s="1759" t="s">
        <v>775</v>
      </c>
      <c r="C4" s="1759"/>
      <c r="D4" s="1759"/>
      <c r="E4" s="1759"/>
    </row>
    <row r="5" spans="1:7" ht="19.5">
      <c r="A5" s="1152"/>
      <c r="B5" s="1759" t="s">
        <v>776</v>
      </c>
      <c r="C5" s="1759"/>
      <c r="D5" s="1759"/>
      <c r="E5" s="1759"/>
    </row>
    <row r="6" spans="1:7" ht="19.5">
      <c r="A6" s="1152"/>
      <c r="B6" s="1759" t="s">
        <v>785</v>
      </c>
      <c r="C6" s="1759"/>
      <c r="D6" s="1759"/>
      <c r="E6" s="1759"/>
    </row>
    <row r="7" spans="1:7" ht="19.5">
      <c r="A7" s="1152"/>
      <c r="B7" s="1759" t="s">
        <v>778</v>
      </c>
      <c r="C7" s="1759"/>
      <c r="D7" s="1759"/>
      <c r="E7" s="1759"/>
    </row>
    <row r="8" spans="1:7" ht="19.5">
      <c r="A8" s="1152"/>
      <c r="B8" s="1759" t="s">
        <v>786</v>
      </c>
      <c r="C8" s="1759"/>
      <c r="D8" s="1759"/>
      <c r="E8" s="1759"/>
    </row>
    <row r="9" spans="1:7" ht="15">
      <c r="A9" s="1152"/>
      <c r="B9" s="1149"/>
      <c r="C9" s="1149"/>
      <c r="D9" s="1151" t="s">
        <v>114</v>
      </c>
      <c r="E9" s="1152"/>
    </row>
    <row r="10" spans="1:7" ht="15.75">
      <c r="A10" s="1152"/>
      <c r="B10" s="1149"/>
      <c r="C10" s="1161" t="s">
        <v>399</v>
      </c>
      <c r="D10" s="1152"/>
      <c r="E10" s="1152"/>
    </row>
    <row r="11" spans="1:7" ht="15.75">
      <c r="A11" s="1152"/>
      <c r="B11" s="1151"/>
      <c r="C11" s="1161" t="s">
        <v>403</v>
      </c>
      <c r="D11" s="1161" t="s">
        <v>404</v>
      </c>
      <c r="E11" s="1161"/>
    </row>
    <row r="12" spans="1:7" ht="15.75" thickBot="1">
      <c r="A12" s="1152"/>
      <c r="B12" s="1154"/>
      <c r="C12" s="1149"/>
      <c r="D12" s="1163" t="s">
        <v>499</v>
      </c>
      <c r="E12" s="1152"/>
    </row>
    <row r="13" spans="1:7" ht="15">
      <c r="A13" s="1152"/>
      <c r="B13" s="1155" t="s">
        <v>406</v>
      </c>
      <c r="C13" s="1156"/>
      <c r="D13" s="268"/>
      <c r="E13" s="1152"/>
    </row>
    <row r="14" spans="1:7" ht="15">
      <c r="A14" s="1152"/>
      <c r="B14" s="1152"/>
      <c r="C14" s="1164"/>
      <c r="D14" s="267"/>
      <c r="E14" s="1165"/>
    </row>
    <row r="15" spans="1:7" ht="15">
      <c r="A15" s="1152"/>
      <c r="B15" s="1152" t="s">
        <v>787</v>
      </c>
      <c r="C15" s="1158">
        <v>350.1</v>
      </c>
      <c r="D15" s="267">
        <v>1.44E-2</v>
      </c>
      <c r="E15" s="1165"/>
    </row>
    <row r="16" spans="1:7" ht="15">
      <c r="A16" s="1152"/>
      <c r="B16" s="1152" t="s">
        <v>407</v>
      </c>
      <c r="C16" s="272">
        <v>352</v>
      </c>
      <c r="D16" s="267">
        <v>2.0799999999999999E-2</v>
      </c>
      <c r="E16" s="1165"/>
    </row>
    <row r="17" spans="1:5" ht="15">
      <c r="A17" s="1152"/>
      <c r="B17" s="1152" t="s">
        <v>408</v>
      </c>
      <c r="C17" s="272">
        <v>353</v>
      </c>
      <c r="D17" s="267">
        <v>2.1499999999999998E-2</v>
      </c>
      <c r="E17" s="1165"/>
    </row>
    <row r="18" spans="1:5" ht="15">
      <c r="A18" s="1152"/>
      <c r="B18" s="1152" t="s">
        <v>409</v>
      </c>
      <c r="C18" s="272">
        <v>354</v>
      </c>
      <c r="D18" s="267">
        <v>2.6100000000000002E-2</v>
      </c>
      <c r="E18" s="1165"/>
    </row>
    <row r="19" spans="1:5" ht="15">
      <c r="A19" s="1152"/>
      <c r="B19" s="1152" t="s">
        <v>410</v>
      </c>
      <c r="C19" s="272">
        <v>355</v>
      </c>
      <c r="D19" s="267">
        <v>3.95E-2</v>
      </c>
      <c r="E19" s="1165"/>
    </row>
    <row r="20" spans="1:5" ht="15">
      <c r="A20" s="1152"/>
      <c r="B20" s="1152" t="s">
        <v>771</v>
      </c>
      <c r="C20" s="272">
        <v>356</v>
      </c>
      <c r="D20" s="267">
        <v>2.9100000000000001E-2</v>
      </c>
      <c r="E20" s="1165"/>
    </row>
    <row r="21" spans="1:5" ht="15">
      <c r="A21" s="1152"/>
      <c r="B21" s="1152" t="s">
        <v>411</v>
      </c>
      <c r="C21" s="272">
        <v>357</v>
      </c>
      <c r="D21" s="267">
        <v>2.9899999999999999E-2</v>
      </c>
      <c r="E21" s="1165"/>
    </row>
    <row r="22" spans="1:5" ht="15">
      <c r="A22" s="1152"/>
      <c r="B22" s="1152" t="s">
        <v>412</v>
      </c>
      <c r="C22" s="272">
        <v>358</v>
      </c>
      <c r="D22" s="267">
        <v>2.6200000000000001E-2</v>
      </c>
      <c r="E22" s="1165"/>
    </row>
    <row r="23" spans="1:5" ht="15">
      <c r="A23" s="1152"/>
      <c r="B23" s="1152"/>
      <c r="C23" s="1149"/>
      <c r="D23" s="267"/>
      <c r="E23" s="1152"/>
    </row>
    <row r="24" spans="1:5" ht="15.75">
      <c r="A24" s="1152"/>
      <c r="B24" s="1152" t="s">
        <v>781</v>
      </c>
      <c r="C24" s="1159"/>
      <c r="D24" s="275"/>
      <c r="E24" s="1152"/>
    </row>
    <row r="25" spans="1:5" ht="15">
      <c r="A25" s="1152"/>
      <c r="B25" s="1760"/>
      <c r="C25" s="1760"/>
      <c r="D25" s="1760"/>
      <c r="E25" s="1760"/>
    </row>
    <row r="26" spans="1:5" ht="15">
      <c r="A26" s="1152"/>
      <c r="B26" s="1760" t="s">
        <v>788</v>
      </c>
      <c r="C26" s="1760"/>
      <c r="D26" s="1760"/>
      <c r="E26" s="1760"/>
    </row>
    <row r="27" spans="1:5" ht="15">
      <c r="A27" s="1152"/>
      <c r="B27" s="1760"/>
      <c r="C27" s="1760"/>
      <c r="D27" s="1760"/>
      <c r="E27" s="1760"/>
    </row>
    <row r="28" spans="1:5" ht="15.75">
      <c r="A28" s="1152"/>
      <c r="B28" s="1160" t="s">
        <v>784</v>
      </c>
      <c r="C28" s="1149"/>
      <c r="D28" s="267"/>
      <c r="E28" s="1152"/>
    </row>
    <row r="29" spans="1:5" ht="15">
      <c r="A29" s="1152"/>
      <c r="B29" s="1761" t="s">
        <v>822</v>
      </c>
      <c r="C29" s="1761"/>
      <c r="D29" s="1761"/>
      <c r="E29" s="1162"/>
    </row>
    <row r="30" spans="1:5" ht="15">
      <c r="A30" s="1152"/>
      <c r="B30" s="1761"/>
      <c r="C30" s="1761"/>
      <c r="D30" s="1761"/>
      <c r="E30" s="1162"/>
    </row>
    <row r="31" spans="1:5" ht="15">
      <c r="A31" s="1152"/>
      <c r="B31" s="1761"/>
      <c r="C31" s="1761"/>
      <c r="D31" s="1761"/>
      <c r="E31" s="1162"/>
    </row>
    <row r="32" spans="1:5" ht="15">
      <c r="A32" s="1152"/>
      <c r="B32" s="1761"/>
      <c r="C32" s="1761"/>
      <c r="D32" s="1761"/>
      <c r="E32" s="1162"/>
    </row>
    <row r="33" spans="1:5" ht="15">
      <c r="A33" s="1152"/>
      <c r="B33" s="1761"/>
      <c r="C33" s="1761"/>
      <c r="D33" s="1761"/>
      <c r="E33" s="116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48" customWidth="1"/>
    <col min="2" max="2" width="28.42578125" style="1148" customWidth="1"/>
    <col min="3" max="3" width="23.140625" style="1148" customWidth="1"/>
    <col min="4" max="16384" width="9.140625" style="1148"/>
  </cols>
  <sheetData>
    <row r="1" spans="1:7" s="772" customFormat="1" ht="15.75">
      <c r="A1" s="898" t="s">
        <v>114</v>
      </c>
      <c r="G1" s="273"/>
    </row>
    <row r="2" spans="1:7" s="772" customFormat="1" ht="15.75">
      <c r="A2" s="898" t="s">
        <v>114</v>
      </c>
      <c r="G2" s="273"/>
    </row>
    <row r="3" spans="1:7" ht="19.5">
      <c r="A3" s="1759" t="s">
        <v>391</v>
      </c>
      <c r="B3" s="1759"/>
      <c r="C3" s="1759"/>
      <c r="D3" s="1759"/>
    </row>
    <row r="4" spans="1:7" ht="19.5">
      <c r="A4" s="1759" t="s">
        <v>775</v>
      </c>
      <c r="B4" s="1759"/>
      <c r="C4" s="1759"/>
      <c r="D4" s="1759"/>
    </row>
    <row r="5" spans="1:7" ht="19.5">
      <c r="A5" s="1759" t="s">
        <v>776</v>
      </c>
      <c r="B5" s="1759"/>
      <c r="C5" s="1759"/>
      <c r="D5" s="1759"/>
    </row>
    <row r="6" spans="1:7" ht="19.5">
      <c r="A6" s="1759" t="s">
        <v>1253</v>
      </c>
      <c r="B6" s="1759"/>
      <c r="C6" s="1759"/>
      <c r="D6" s="1759"/>
    </row>
    <row r="7" spans="1:7" ht="19.5">
      <c r="A7" s="1759" t="s">
        <v>778</v>
      </c>
      <c r="B7" s="1759"/>
      <c r="C7" s="1759"/>
      <c r="D7" s="1759"/>
    </row>
    <row r="8" spans="1:7" ht="19.5">
      <c r="A8" s="1759" t="s">
        <v>789</v>
      </c>
      <c r="B8" s="1759"/>
      <c r="C8" s="1759"/>
      <c r="D8" s="1759"/>
    </row>
    <row r="9" spans="1:7" ht="15">
      <c r="A9" s="1149"/>
      <c r="B9" s="1149"/>
      <c r="C9" s="1151" t="s">
        <v>114</v>
      </c>
      <c r="D9" s="1152"/>
    </row>
    <row r="10" spans="1:7" ht="15.75">
      <c r="A10" s="1149"/>
      <c r="B10" s="1161" t="s">
        <v>399</v>
      </c>
      <c r="C10" s="1152"/>
      <c r="D10" s="1152"/>
    </row>
    <row r="11" spans="1:7" ht="15.75">
      <c r="A11" s="1151"/>
      <c r="B11" s="1161" t="s">
        <v>403</v>
      </c>
      <c r="C11" s="1161" t="s">
        <v>404</v>
      </c>
      <c r="D11" s="1161"/>
    </row>
    <row r="12" spans="1:7" ht="15.75" thickBot="1">
      <c r="A12" s="1154"/>
      <c r="B12" s="1149"/>
      <c r="C12" s="1163" t="s">
        <v>499</v>
      </c>
      <c r="D12" s="1152"/>
    </row>
    <row r="13" spans="1:7" ht="15">
      <c r="A13" s="1155" t="s">
        <v>406</v>
      </c>
      <c r="B13" s="1156"/>
      <c r="C13" s="268"/>
      <c r="D13" s="1152"/>
    </row>
    <row r="14" spans="1:7" ht="15">
      <c r="A14" s="1158" t="s">
        <v>407</v>
      </c>
      <c r="B14" s="272">
        <v>352</v>
      </c>
      <c r="C14" s="267">
        <v>2.0199999999999999E-2</v>
      </c>
      <c r="D14" s="1165"/>
    </row>
    <row r="15" spans="1:7" ht="15">
      <c r="A15" s="1158" t="s">
        <v>408</v>
      </c>
      <c r="B15" s="272">
        <v>353</v>
      </c>
      <c r="C15" s="267">
        <v>2.29E-2</v>
      </c>
      <c r="D15" s="1165"/>
    </row>
    <row r="16" spans="1:7" ht="15">
      <c r="A16" s="1164"/>
      <c r="B16" s="272"/>
      <c r="C16" s="267"/>
      <c r="D16" s="1165"/>
    </row>
    <row r="17" spans="1:4" ht="15">
      <c r="A17" s="1158" t="s">
        <v>790</v>
      </c>
      <c r="B17" s="272">
        <v>354</v>
      </c>
      <c r="C17" s="267">
        <v>1.8800000000000001E-2</v>
      </c>
      <c r="D17" s="1165"/>
    </row>
    <row r="18" spans="1:4" ht="15">
      <c r="A18" s="1158" t="s">
        <v>791</v>
      </c>
      <c r="B18" s="272">
        <v>354</v>
      </c>
      <c r="C18" s="267">
        <v>1.8800000000000001E-2</v>
      </c>
      <c r="D18" s="1165"/>
    </row>
    <row r="19" spans="1:4" ht="15">
      <c r="A19" s="1170"/>
      <c r="B19" s="1171"/>
      <c r="C19" s="308"/>
      <c r="D19" s="1165"/>
    </row>
    <row r="20" spans="1:4" ht="15">
      <c r="A20" s="1158" t="s">
        <v>792</v>
      </c>
      <c r="B20" s="272">
        <v>355</v>
      </c>
      <c r="C20" s="267">
        <v>3.5200000000000002E-2</v>
      </c>
      <c r="D20" s="1165"/>
    </row>
    <row r="21" spans="1:4" ht="15">
      <c r="A21" s="1158" t="s">
        <v>793</v>
      </c>
      <c r="B21" s="272">
        <v>355</v>
      </c>
      <c r="C21" s="267">
        <v>3.5200000000000002E-2</v>
      </c>
      <c r="D21" s="1165"/>
    </row>
    <row r="22" spans="1:4" ht="15">
      <c r="A22" s="1170"/>
      <c r="B22" s="272"/>
      <c r="C22" s="267"/>
      <c r="D22" s="1165"/>
    </row>
    <row r="23" spans="1:4" ht="15">
      <c r="A23" s="1158" t="s">
        <v>794</v>
      </c>
      <c r="B23" s="272">
        <v>356</v>
      </c>
      <c r="C23" s="267">
        <v>1.9099999999999999E-2</v>
      </c>
      <c r="D23" s="1165"/>
    </row>
    <row r="24" spans="1:4" ht="15">
      <c r="A24" s="1158" t="s">
        <v>795</v>
      </c>
      <c r="B24" s="272">
        <v>356</v>
      </c>
      <c r="C24" s="267">
        <v>1.9099999999999999E-2</v>
      </c>
      <c r="D24" s="1165"/>
    </row>
    <row r="25" spans="1:4" ht="15">
      <c r="A25" s="1158" t="s">
        <v>796</v>
      </c>
      <c r="B25" s="272">
        <v>356</v>
      </c>
      <c r="C25" s="267">
        <v>1.9099999999999999E-2</v>
      </c>
      <c r="D25" s="1165"/>
    </row>
    <row r="26" spans="1:4" ht="15">
      <c r="A26" s="1158" t="s">
        <v>797</v>
      </c>
      <c r="B26" s="272">
        <v>356</v>
      </c>
      <c r="C26" s="267">
        <v>1.9099999999999999E-2</v>
      </c>
      <c r="D26" s="1165"/>
    </row>
    <row r="27" spans="1:4" ht="15">
      <c r="A27" s="1158" t="s">
        <v>798</v>
      </c>
      <c r="B27" s="272">
        <v>356</v>
      </c>
      <c r="C27" s="267">
        <v>1.9099999999999999E-2</v>
      </c>
      <c r="D27" s="1165"/>
    </row>
    <row r="28" spans="1:4" ht="15">
      <c r="A28" s="1158"/>
      <c r="B28" s="272"/>
      <c r="C28" s="267"/>
      <c r="D28" s="1165"/>
    </row>
    <row r="29" spans="1:4" ht="15">
      <c r="A29" s="1158" t="s">
        <v>411</v>
      </c>
      <c r="B29" s="272">
        <v>357</v>
      </c>
      <c r="C29" s="267">
        <v>2.2599999999999999E-2</v>
      </c>
      <c r="D29" s="1165"/>
    </row>
    <row r="30" spans="1:4" ht="15">
      <c r="A30" s="1158" t="s">
        <v>412</v>
      </c>
      <c r="B30" s="272">
        <v>358</v>
      </c>
      <c r="C30" s="267">
        <v>3.27E-2</v>
      </c>
      <c r="D30" s="1165"/>
    </row>
    <row r="31" spans="1:4" ht="15">
      <c r="A31" s="1164"/>
      <c r="B31" s="1157"/>
      <c r="C31" s="308"/>
      <c r="D31" s="1152"/>
    </row>
    <row r="32" spans="1:4" ht="15.75" thickBot="1">
      <c r="A32" s="1172"/>
      <c r="B32" s="1173"/>
      <c r="C32" s="1174"/>
      <c r="D32" s="1152"/>
    </row>
    <row r="33" spans="1:4" ht="15">
      <c r="A33" s="1154"/>
      <c r="B33" s="1149"/>
      <c r="C33" s="267"/>
      <c r="D33" s="1152"/>
    </row>
    <row r="34" spans="1:4" ht="15">
      <c r="A34" s="1152"/>
      <c r="B34" s="1149"/>
      <c r="C34" s="267"/>
      <c r="D34" s="1152"/>
    </row>
    <row r="35" spans="1:4" ht="15.75">
      <c r="A35" s="1152" t="s">
        <v>781</v>
      </c>
      <c r="B35" s="1159"/>
      <c r="C35" s="275"/>
      <c r="D35" s="1152"/>
    </row>
    <row r="36" spans="1:4" ht="15">
      <c r="A36" s="1152"/>
      <c r="B36" s="1152"/>
      <c r="C36" s="1152"/>
      <c r="D36" s="1152"/>
    </row>
    <row r="37" spans="1:4" ht="15">
      <c r="A37" s="1760" t="s">
        <v>799</v>
      </c>
      <c r="B37" s="1760"/>
      <c r="C37" s="1760"/>
      <c r="D37" s="1760"/>
    </row>
    <row r="38" spans="1:4" ht="15">
      <c r="A38" s="1152" t="s">
        <v>800</v>
      </c>
      <c r="B38" s="1152"/>
      <c r="C38" s="1152"/>
      <c r="D38" s="1152"/>
    </row>
    <row r="39" spans="1:4" ht="15">
      <c r="A39" s="1152" t="s">
        <v>801</v>
      </c>
      <c r="B39" s="1152"/>
      <c r="C39" s="1152"/>
      <c r="D39" s="1152"/>
    </row>
    <row r="40" spans="1:4" ht="15">
      <c r="A40" s="1152"/>
      <c r="B40" s="1152"/>
      <c r="C40" s="1152"/>
      <c r="D40" s="1152"/>
    </row>
    <row r="41" spans="1:4" ht="15.75">
      <c r="A41" s="1160" t="s">
        <v>802</v>
      </c>
      <c r="B41" s="1149"/>
      <c r="C41" s="267"/>
      <c r="D41" s="1152"/>
    </row>
    <row r="42" spans="1:4">
      <c r="A42" s="1761" t="s">
        <v>822</v>
      </c>
      <c r="B42" s="1761"/>
      <c r="C42" s="1761"/>
      <c r="D42" s="1162"/>
    </row>
    <row r="43" spans="1:4">
      <c r="A43" s="1761"/>
      <c r="B43" s="1761"/>
      <c r="C43" s="1761"/>
      <c r="D43" s="1162"/>
    </row>
    <row r="44" spans="1:4">
      <c r="A44" s="1761"/>
      <c r="B44" s="1761"/>
      <c r="C44" s="1761"/>
      <c r="D44" s="1162"/>
    </row>
    <row r="45" spans="1:4">
      <c r="A45" s="1761"/>
      <c r="B45" s="1761"/>
      <c r="C45" s="1761"/>
      <c r="D45" s="1162"/>
    </row>
    <row r="46" spans="1:4">
      <c r="A46" s="1761"/>
      <c r="B46" s="1761"/>
      <c r="C46" s="1761"/>
      <c r="D46" s="1162"/>
    </row>
    <row r="47" spans="1:4" ht="15">
      <c r="A47" s="1152"/>
      <c r="B47" s="1152"/>
      <c r="C47" s="1152"/>
      <c r="D47" s="1152"/>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52" customWidth="1"/>
    <col min="2" max="2" width="33.140625" style="1152" customWidth="1"/>
    <col min="3" max="4" width="31.85546875" style="1152" customWidth="1"/>
    <col min="5" max="5" width="16.5703125" style="1152" customWidth="1"/>
    <col min="6" max="6" width="14.5703125" style="1152" customWidth="1"/>
    <col min="7" max="7" width="4.85546875" style="1152" customWidth="1"/>
    <col min="8" max="8" width="14.5703125" style="1153" customWidth="1"/>
    <col min="9" max="9" width="18.42578125" style="1152" customWidth="1"/>
    <col min="10" max="10" width="15.5703125" style="1152" customWidth="1"/>
    <col min="11" max="11" width="6.140625" style="1152" customWidth="1"/>
    <col min="12" max="12" width="14.5703125" style="1152" customWidth="1"/>
    <col min="13" max="13" width="16.140625" style="1152" customWidth="1"/>
    <col min="14" max="14" width="14.5703125" style="1152" customWidth="1"/>
    <col min="15" max="15" width="4.85546875" style="1152" customWidth="1"/>
    <col min="16" max="16" width="18.5703125" style="1152" customWidth="1"/>
    <col min="17" max="16384" width="14.5703125" style="1152"/>
  </cols>
  <sheetData>
    <row r="1" spans="1:7" s="772" customFormat="1" ht="15.75">
      <c r="A1" s="898" t="s">
        <v>114</v>
      </c>
      <c r="G1" s="273"/>
    </row>
    <row r="2" spans="1:7" s="772" customFormat="1" ht="15.75">
      <c r="A2" s="898" t="s">
        <v>114</v>
      </c>
      <c r="G2" s="273"/>
    </row>
    <row r="3" spans="1:7" ht="19.5">
      <c r="B3" s="1759" t="s">
        <v>391</v>
      </c>
      <c r="C3" s="1759"/>
      <c r="D3" s="1759"/>
      <c r="E3" s="1759"/>
    </row>
    <row r="4" spans="1:7" ht="19.5">
      <c r="B4" s="1759" t="s">
        <v>775</v>
      </c>
      <c r="C4" s="1759"/>
      <c r="D4" s="1759"/>
      <c r="E4" s="1759"/>
    </row>
    <row r="5" spans="1:7" ht="19.5">
      <c r="B5" s="1759" t="s">
        <v>776</v>
      </c>
      <c r="C5" s="1759"/>
      <c r="D5" s="1759"/>
      <c r="E5" s="1759"/>
    </row>
    <row r="6" spans="1:7" ht="19.5">
      <c r="B6" s="1759" t="s">
        <v>1252</v>
      </c>
      <c r="C6" s="1759"/>
      <c r="D6" s="1759"/>
      <c r="E6" s="1759"/>
    </row>
    <row r="7" spans="1:7" ht="19.5">
      <c r="B7" s="1759" t="s">
        <v>778</v>
      </c>
      <c r="C7" s="1759"/>
      <c r="D7" s="1759"/>
      <c r="E7" s="1759"/>
    </row>
    <row r="8" spans="1:7" ht="19.5">
      <c r="B8" s="1759" t="s">
        <v>803</v>
      </c>
      <c r="C8" s="1759"/>
      <c r="D8" s="1759"/>
      <c r="E8" s="1759"/>
    </row>
    <row r="9" spans="1:7">
      <c r="B9" s="1149"/>
      <c r="C9" s="1149"/>
      <c r="D9" s="1151" t="s">
        <v>114</v>
      </c>
    </row>
    <row r="10" spans="1:7">
      <c r="A10" s="1761"/>
      <c r="B10" s="1761"/>
      <c r="C10" s="1761"/>
      <c r="D10" s="1162"/>
    </row>
    <row r="11" spans="1:7" ht="15.75">
      <c r="A11" s="1149"/>
      <c r="B11" s="1161" t="s">
        <v>399</v>
      </c>
    </row>
    <row r="12" spans="1:7" ht="15.75">
      <c r="A12" s="1151"/>
      <c r="B12" s="1161" t="s">
        <v>403</v>
      </c>
      <c r="C12" s="1161" t="s">
        <v>404</v>
      </c>
      <c r="D12" s="1161"/>
    </row>
    <row r="13" spans="1:7" ht="15.75" thickBot="1">
      <c r="C13" s="1165" t="s">
        <v>499</v>
      </c>
    </row>
    <row r="14" spans="1:7">
      <c r="A14" s="1155" t="s">
        <v>406</v>
      </c>
      <c r="B14" s="1156"/>
      <c r="C14" s="268"/>
    </row>
    <row r="15" spans="1:7">
      <c r="A15" s="1164"/>
      <c r="D15" s="1165"/>
    </row>
    <row r="16" spans="1:7">
      <c r="A16" s="1158" t="s">
        <v>407</v>
      </c>
      <c r="B16" s="272">
        <v>352</v>
      </c>
      <c r="C16" s="267">
        <v>1.15E-2</v>
      </c>
      <c r="D16" s="1165"/>
    </row>
    <row r="17" spans="1:4">
      <c r="A17" s="1170" t="s">
        <v>408</v>
      </c>
      <c r="B17" s="272">
        <v>353</v>
      </c>
      <c r="C17" s="267">
        <v>2.2200000000000001E-2</v>
      </c>
      <c r="D17" s="1165"/>
    </row>
    <row r="18" spans="1:4">
      <c r="A18" s="1170" t="s">
        <v>409</v>
      </c>
      <c r="B18" s="272">
        <v>354</v>
      </c>
      <c r="C18" s="267">
        <v>2.6499999999999999E-2</v>
      </c>
      <c r="D18" s="1165"/>
    </row>
    <row r="19" spans="1:4">
      <c r="A19" s="1170" t="s">
        <v>410</v>
      </c>
      <c r="B19" s="272">
        <v>355</v>
      </c>
      <c r="C19" s="267">
        <v>2.41E-2</v>
      </c>
      <c r="D19" s="1165"/>
    </row>
    <row r="20" spans="1:4">
      <c r="A20" s="1170" t="s">
        <v>771</v>
      </c>
      <c r="B20" s="272">
        <v>356</v>
      </c>
      <c r="C20" s="267">
        <v>1.32E-2</v>
      </c>
      <c r="D20" s="1165"/>
    </row>
    <row r="21" spans="1:4">
      <c r="A21" s="1170" t="s">
        <v>411</v>
      </c>
      <c r="B21" s="272">
        <v>351</v>
      </c>
      <c r="C21" s="267">
        <v>9.9400000000000002E-2</v>
      </c>
      <c r="D21" s="1165"/>
    </row>
    <row r="22" spans="1:4">
      <c r="A22" s="1170" t="s">
        <v>412</v>
      </c>
      <c r="B22" s="272">
        <v>351</v>
      </c>
      <c r="C22" s="267">
        <v>0.13980000000000001</v>
      </c>
      <c r="D22" s="1165"/>
    </row>
    <row r="23" spans="1:4">
      <c r="A23" s="1170" t="s">
        <v>772</v>
      </c>
      <c r="B23" s="272">
        <v>359</v>
      </c>
      <c r="C23" s="1163" t="s">
        <v>804</v>
      </c>
      <c r="D23" s="1165"/>
    </row>
    <row r="24" spans="1:4" ht="15.75" thickBot="1">
      <c r="A24" s="1170"/>
      <c r="B24" s="272"/>
      <c r="C24" s="267"/>
      <c r="D24" s="1165"/>
    </row>
    <row r="25" spans="1:4">
      <c r="A25" s="1155" t="s">
        <v>806</v>
      </c>
      <c r="B25" s="1156"/>
      <c r="C25" s="268"/>
      <c r="D25" s="1165"/>
    </row>
    <row r="26" spans="1:4" ht="15" customHeight="1">
      <c r="A26" s="1170"/>
      <c r="B26" s="272"/>
      <c r="C26" s="267"/>
      <c r="D26" s="1165"/>
    </row>
    <row r="27" spans="1:4">
      <c r="A27" s="1170" t="s">
        <v>807</v>
      </c>
      <c r="B27" s="272">
        <v>390</v>
      </c>
      <c r="C27" s="267">
        <v>1.0800000000000001E-2</v>
      </c>
      <c r="D27" s="1165"/>
    </row>
    <row r="28" spans="1:4">
      <c r="A28" s="1170" t="s">
        <v>808</v>
      </c>
      <c r="B28" s="272">
        <v>391</v>
      </c>
      <c r="C28" s="267">
        <v>2.1299999999999999E-2</v>
      </c>
      <c r="D28" s="1165"/>
    </row>
    <row r="29" spans="1:4">
      <c r="A29" s="1170" t="s">
        <v>809</v>
      </c>
      <c r="B29" s="272">
        <v>393</v>
      </c>
      <c r="C29" s="267">
        <v>1.78E-2</v>
      </c>
      <c r="D29" s="1165"/>
    </row>
    <row r="30" spans="1:4" ht="15" customHeight="1">
      <c r="A30" s="1170" t="s">
        <v>810</v>
      </c>
      <c r="B30" s="272">
        <v>394</v>
      </c>
      <c r="C30" s="267">
        <v>1.6500000000000001E-2</v>
      </c>
      <c r="D30" s="1165"/>
    </row>
    <row r="31" spans="1:4">
      <c r="A31" s="1170" t="s">
        <v>812</v>
      </c>
      <c r="B31" s="272">
        <v>397</v>
      </c>
      <c r="C31" s="267">
        <v>5.0900000000000001E-2</v>
      </c>
      <c r="D31" s="1165"/>
    </row>
    <row r="32" spans="1:4">
      <c r="A32" s="1170" t="s">
        <v>813</v>
      </c>
      <c r="B32" s="272">
        <v>398</v>
      </c>
      <c r="C32" s="267">
        <v>2.76E-2</v>
      </c>
      <c r="D32" s="1165"/>
    </row>
    <row r="33" spans="1:4">
      <c r="A33" s="1170"/>
      <c r="B33" s="272"/>
      <c r="C33" s="267"/>
      <c r="D33" s="1165"/>
    </row>
    <row r="34" spans="1:4">
      <c r="A34" s="1170"/>
      <c r="B34" s="272"/>
      <c r="C34" s="267"/>
      <c r="D34" s="1165"/>
    </row>
    <row r="35" spans="1:4">
      <c r="A35" s="1170"/>
      <c r="B35" s="272"/>
      <c r="C35" s="267"/>
      <c r="D35" s="1165"/>
    </row>
    <row r="36" spans="1:4">
      <c r="A36" s="1164"/>
      <c r="B36" s="1157"/>
      <c r="C36" s="308"/>
    </row>
    <row r="37" spans="1:4">
      <c r="A37" s="1760" t="s">
        <v>805</v>
      </c>
      <c r="B37" s="1760"/>
      <c r="C37" s="1760"/>
      <c r="D37" s="1760"/>
    </row>
    <row r="38" spans="1:4" ht="15.75">
      <c r="B38" s="1159"/>
      <c r="C38" s="275"/>
    </row>
    <row r="39" spans="1:4">
      <c r="A39" s="1760"/>
      <c r="B39" s="1760"/>
      <c r="C39" s="1760"/>
      <c r="D39" s="1760"/>
    </row>
    <row r="40" spans="1:4" ht="15.75">
      <c r="A40" s="1160" t="s">
        <v>802</v>
      </c>
      <c r="B40" s="1149"/>
      <c r="C40" s="267"/>
    </row>
    <row r="41" spans="1:4">
      <c r="A41" s="1761" t="s">
        <v>822</v>
      </c>
      <c r="B41" s="1761"/>
      <c r="C41" s="1761"/>
      <c r="D41" s="1162"/>
    </row>
    <row r="42" spans="1:4">
      <c r="A42" s="1761"/>
      <c r="B42" s="1761"/>
      <c r="C42" s="1761"/>
      <c r="D42" s="1162"/>
    </row>
    <row r="43" spans="1:4">
      <c r="A43" s="1761"/>
      <c r="B43" s="1761"/>
      <c r="C43" s="1761"/>
      <c r="D43" s="1162"/>
    </row>
    <row r="44" spans="1:4">
      <c r="A44" s="1761"/>
      <c r="B44" s="1761"/>
      <c r="C44" s="1761"/>
      <c r="D44" s="1162"/>
    </row>
    <row r="45" spans="1:4">
      <c r="A45" s="1761"/>
      <c r="B45" s="1761"/>
      <c r="C45" s="1761"/>
      <c r="D45" s="1162"/>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A17" sqref="A17:B50"/>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1255</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31.5">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1555">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1256</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96"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A17" sqref="A17:B50"/>
    </sheetView>
  </sheetViews>
  <sheetFormatPr defaultRowHeight="12.75"/>
  <cols>
    <col min="1" max="1" width="20.42578125" customWidth="1"/>
    <col min="4" max="4" width="21.5703125" customWidth="1"/>
    <col min="5" max="5" width="17.140625" customWidth="1"/>
    <col min="6" max="6" width="10.5703125" customWidth="1"/>
    <col min="8" max="8" width="15.42578125" customWidth="1"/>
    <col min="9" max="9" width="15.5703125" customWidth="1"/>
    <col min="11" max="11" width="14.8554687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78.75">
      <c r="A8" s="798" t="str">
        <f>"Reconciliation Revenue Requirement For Year 2018 Available May 25, 2019"</f>
        <v>Reconciliation Revenue Requirement For Year 2018 Available May 25, 2019</v>
      </c>
      <c r="B8" s="797"/>
      <c r="C8" s="797"/>
      <c r="D8" s="798" t="s">
        <v>1255</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63">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881">
        <f>'WSQ NSPR'!F15</f>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1256</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102"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6"/>
  <sheetViews>
    <sheetView view="pageBreakPreview" topLeftCell="A13" zoomScale="85" zoomScaleNormal="75" zoomScaleSheetLayoutView="85" workbookViewId="0">
      <selection activeCell="E52" sqref="E52"/>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8" t="s">
        <v>114</v>
      </c>
    </row>
    <row r="2" spans="1:15" ht="15.75">
      <c r="A2" s="898" t="s">
        <v>114</v>
      </c>
    </row>
    <row r="3" spans="1:15" ht="15">
      <c r="A3" s="1653" t="s">
        <v>387</v>
      </c>
      <c r="B3" s="1653"/>
      <c r="C3" s="1653"/>
      <c r="D3" s="1653"/>
      <c r="E3" s="1653"/>
      <c r="F3" s="1653"/>
      <c r="G3" s="1653"/>
      <c r="H3" s="1653"/>
      <c r="I3" s="1653"/>
      <c r="J3" s="38"/>
      <c r="K3" s="38"/>
    </row>
    <row r="4" spans="1:15" ht="15">
      <c r="A4" s="1654" t="str">
        <f>"Cost of Service Formula Rate Using Actual/Projected FF1 Balances"</f>
        <v>Cost of Service Formula Rate Using Actual/Projected FF1 Balances</v>
      </c>
      <c r="B4" s="1654"/>
      <c r="C4" s="1654"/>
      <c r="D4" s="1654"/>
      <c r="E4" s="1654"/>
      <c r="F4" s="1654"/>
      <c r="G4" s="1654"/>
      <c r="H4" s="1654"/>
      <c r="I4" s="1654"/>
      <c r="J4" s="96"/>
      <c r="K4" s="96"/>
    </row>
    <row r="5" spans="1:15" ht="15">
      <c r="A5" s="1654" t="s">
        <v>471</v>
      </c>
      <c r="B5" s="1654"/>
      <c r="C5" s="1654"/>
      <c r="D5" s="1654"/>
      <c r="E5" s="1654"/>
      <c r="F5" s="1654"/>
      <c r="G5" s="1654"/>
      <c r="H5" s="1654"/>
      <c r="I5" s="1654"/>
      <c r="J5" s="95"/>
      <c r="K5" s="95"/>
    </row>
    <row r="6" spans="1:15" ht="15">
      <c r="A6" s="1665" t="str">
        <f>TCOS!F9</f>
        <v>Ohio Power Company</v>
      </c>
      <c r="B6" s="1665"/>
      <c r="C6" s="1665"/>
      <c r="D6" s="1665"/>
      <c r="E6" s="1665"/>
      <c r="F6" s="1665"/>
      <c r="G6" s="1665"/>
      <c r="H6" s="1665"/>
      <c r="I6" s="1665"/>
      <c r="J6" s="4"/>
      <c r="K6" s="4"/>
      <c r="L6"/>
      <c r="M6"/>
    </row>
    <row r="7" spans="1:15">
      <c r="C7" s="32"/>
      <c r="D7" s="32"/>
    </row>
    <row r="8" spans="1:15">
      <c r="C8" s="8" t="s">
        <v>162</v>
      </c>
      <c r="D8" s="8" t="s">
        <v>163</v>
      </c>
      <c r="E8" s="8" t="s">
        <v>164</v>
      </c>
      <c r="G8" s="8" t="s">
        <v>165</v>
      </c>
      <c r="I8" s="8" t="s">
        <v>84</v>
      </c>
      <c r="J8" s="8"/>
      <c r="K8" s="8"/>
      <c r="L8" s="8"/>
      <c r="M8"/>
      <c r="N8"/>
      <c r="O8"/>
    </row>
    <row r="9" spans="1:15">
      <c r="A9" s="94"/>
      <c r="I9" s="14"/>
      <c r="J9"/>
      <c r="K9"/>
      <c r="L9"/>
      <c r="M9"/>
      <c r="N9"/>
      <c r="O9"/>
    </row>
    <row r="10" spans="1:15" ht="12.75" customHeight="1">
      <c r="A10" s="12" t="s">
        <v>169</v>
      </c>
      <c r="C10" s="33"/>
      <c r="D10" s="33"/>
      <c r="E10" s="1663" t="str">
        <f>"Balance @ December 31, "&amp;TCOS!L4&amp;""</f>
        <v>Balance @ December 31, 2021</v>
      </c>
      <c r="F10" s="137"/>
      <c r="G10" s="1663" t="str">
        <f>"Balance @ December 31, "&amp;TCOS!L4-1&amp;""</f>
        <v>Balance @ December 31, 2020</v>
      </c>
      <c r="H10" s="137"/>
      <c r="I10" s="1666" t="str">
        <f>"Average Balance for "&amp;TCOS!L4&amp;""</f>
        <v>Average Balance for 2021</v>
      </c>
      <c r="J10"/>
      <c r="K10"/>
      <c r="L10"/>
      <c r="M10"/>
      <c r="N10"/>
      <c r="O10"/>
    </row>
    <row r="11" spans="1:15">
      <c r="A11" s="12" t="s">
        <v>106</v>
      </c>
      <c r="B11" s="11"/>
      <c r="C11" s="12" t="s">
        <v>167</v>
      </c>
      <c r="D11" s="12" t="s">
        <v>206</v>
      </c>
      <c r="E11" s="1664"/>
      <c r="F11" s="86"/>
      <c r="G11" s="1664"/>
      <c r="H11" s="225"/>
      <c r="I11" s="1664"/>
      <c r="J11"/>
      <c r="K11"/>
      <c r="L11"/>
      <c r="M11"/>
      <c r="N11"/>
      <c r="O11"/>
    </row>
    <row r="12" spans="1:15">
      <c r="A12" s="94"/>
      <c r="C12" s="32"/>
      <c r="D12" s="32"/>
      <c r="G12" s="237"/>
      <c r="J12" s="24"/>
      <c r="K12" s="24"/>
    </row>
    <row r="13" spans="1:15">
      <c r="A13" s="94"/>
      <c r="C13" s="32"/>
      <c r="D13" s="32"/>
      <c r="J13" s="24"/>
      <c r="K13" s="24"/>
    </row>
    <row r="14" spans="1:15">
      <c r="A14" s="94"/>
      <c r="C14" s="32"/>
      <c r="D14" s="32"/>
      <c r="J14" s="24"/>
      <c r="K14" s="24"/>
    </row>
    <row r="15" spans="1:15" ht="15.75">
      <c r="A15" s="94">
        <v>1</v>
      </c>
      <c r="C15" s="58" t="s">
        <v>509</v>
      </c>
      <c r="D15" s="58"/>
      <c r="J15" s="24"/>
      <c r="K15" s="24"/>
    </row>
    <row r="16" spans="1:15" ht="15.75">
      <c r="A16" s="94"/>
      <c r="C16" s="58"/>
      <c r="D16" s="58"/>
      <c r="H16"/>
      <c r="J16" s="24"/>
      <c r="K16" s="24"/>
    </row>
    <row r="17" spans="1:17">
      <c r="A17" s="94">
        <f>+A15+1</f>
        <v>2</v>
      </c>
      <c r="C17" s="60" t="s">
        <v>515</v>
      </c>
      <c r="D17" s="85" t="s">
        <v>517</v>
      </c>
      <c r="E17" s="843">
        <f>SUM('WS B-1 - Actual Stmt. AF'!Q23:S23)</f>
        <v>0</v>
      </c>
      <c r="G17" s="883">
        <f>SUM('WS B-1 - Actual Stmt. AF'!M23:O23)</f>
        <v>0</v>
      </c>
      <c r="H17"/>
      <c r="I17" s="133">
        <f>IF(G17="",0,(E17+G17)/2)</f>
        <v>0</v>
      </c>
      <c r="J17" s="24"/>
      <c r="K17" s="24"/>
    </row>
    <row r="18" spans="1:17">
      <c r="A18" s="94">
        <f>+A17+1</f>
        <v>3</v>
      </c>
      <c r="C18" s="60" t="s">
        <v>519</v>
      </c>
      <c r="D18" s="302" t="str">
        <f>"WS B-1 - Actual Stmt. AF Ln. " &amp;'WS B-1 - Actual Stmt. AF'!A24&amp;" (Note 1)"</f>
        <v>WS B-1 - Actual Stmt. AF Ln. 4 (Note 1)</v>
      </c>
      <c r="E18" s="843">
        <f>SUM('WS B-1 - Actual Stmt. AF'!Q24:S24)</f>
        <v>0</v>
      </c>
      <c r="G18" s="895">
        <f>SUM('WS B-1 - Actual Stmt. AF'!M24:O24)</f>
        <v>0</v>
      </c>
      <c r="H18"/>
      <c r="I18" s="133">
        <f>IF(G18="",0,(E18+G18)/2)</f>
        <v>0</v>
      </c>
      <c r="J18" s="24"/>
      <c r="K18" s="24"/>
    </row>
    <row r="19" spans="1:17" ht="15">
      <c r="A19" s="94">
        <f>+A18+1</f>
        <v>4</v>
      </c>
      <c r="C19" s="60" t="s">
        <v>520</v>
      </c>
      <c r="D19" s="302" t="str">
        <f>"WS B-1 - Actual Stmt. AF Ln. " &amp;'WS B-1 - Actual Stmt. AF'!A23&amp;" (Note 1)"</f>
        <v>WS B-1 - Actual Stmt. AF Ln. 3 (Note 1)</v>
      </c>
      <c r="E19" s="844">
        <f>SUM('WS B-1 - Actual Stmt. AF'!Q23,'WS B-1 - Actual Stmt. AF'!S23)-(SUM('WS B-1 - Actual Stmt. AF'!Q24,'WS B-1 - Actual Stmt. AF'!S24))</f>
        <v>0</v>
      </c>
      <c r="G19" s="884">
        <f>SUM('WS B-1 - Actual Stmt. AF'!M23,'WS B-1 - Actual Stmt. AF'!O23)-SUM('WS B-1 - Actual Stmt. AF'!M24,'WS B-1 - Actual Stmt. AF'!O24)</f>
        <v>0</v>
      </c>
      <c r="I19" s="211">
        <f>IF(G19="",0,(E19+G19)/2)</f>
        <v>0</v>
      </c>
      <c r="J19" s="24"/>
      <c r="K19" s="24"/>
    </row>
    <row r="20" spans="1:17">
      <c r="A20" s="94">
        <f>+A19+1</f>
        <v>5</v>
      </c>
      <c r="C20" s="60" t="s">
        <v>516</v>
      </c>
      <c r="D20" s="138" t="str">
        <f>"Ln "&amp;A17&amp;" - ln "&amp;A18&amp;" - ln "&amp;A19&amp;""</f>
        <v>Ln 2 - ln 3 - ln 4</v>
      </c>
      <c r="E20" s="25">
        <f>+E17-E18-E19</f>
        <v>0</v>
      </c>
      <c r="G20" s="25">
        <f>+G17-G18-G19</f>
        <v>0</v>
      </c>
      <c r="I20" s="133">
        <f>+I17-I18-I19</f>
        <v>0</v>
      </c>
      <c r="J20" s="24"/>
      <c r="K20" s="24"/>
    </row>
    <row r="21" spans="1:17">
      <c r="A21" s="94"/>
      <c r="C21" s="60"/>
      <c r="D21" s="138"/>
      <c r="J21" s="24"/>
      <c r="K21" s="24"/>
    </row>
    <row r="22" spans="1:17">
      <c r="A22" s="94"/>
      <c r="C22" s="60"/>
      <c r="D22" s="138"/>
      <c r="J22" s="24"/>
      <c r="K22" s="25"/>
      <c r="L22" s="25"/>
      <c r="M22" s="25"/>
      <c r="N22" s="25"/>
      <c r="O22" s="25"/>
    </row>
    <row r="23" spans="1:17" ht="15.75">
      <c r="A23" s="94">
        <f>+A20+1</f>
        <v>6</v>
      </c>
      <c r="C23" s="58" t="s">
        <v>510</v>
      </c>
      <c r="D23" s="138"/>
      <c r="J23" s="24"/>
      <c r="K23" s="25"/>
      <c r="L23" s="25"/>
      <c r="M23" s="25"/>
      <c r="N23" s="25"/>
      <c r="O23" s="25"/>
    </row>
    <row r="24" spans="1:17">
      <c r="A24" s="94"/>
      <c r="C24" s="60"/>
      <c r="D24" s="138"/>
      <c r="J24" s="24"/>
      <c r="K24" s="25"/>
      <c r="L24" s="25"/>
      <c r="M24" s="25"/>
      <c r="N24" s="25"/>
      <c r="O24" s="25"/>
    </row>
    <row r="25" spans="1:17">
      <c r="A25" s="94">
        <f>+A23+1</f>
        <v>7</v>
      </c>
      <c r="C25" s="60" t="s">
        <v>515</v>
      </c>
      <c r="D25" s="85" t="s">
        <v>449</v>
      </c>
      <c r="E25" s="887">
        <f>SUM('WS B-1 - Actual Stmt. AF'!Q72:S72)</f>
        <v>1414578208.8600001</v>
      </c>
      <c r="G25" s="885">
        <f>SUM('WS B-1 - Actual Stmt. AF'!M72:O72)</f>
        <v>1384449743.6600003</v>
      </c>
      <c r="H25"/>
      <c r="I25" s="133">
        <f>IF(G25="",0,(E25+G25)/2)</f>
        <v>1399513976.2600002</v>
      </c>
      <c r="J25" s="24"/>
      <c r="K25" s="25"/>
      <c r="L25" s="25"/>
      <c r="M25" s="25"/>
      <c r="N25" s="25"/>
      <c r="O25" s="25"/>
    </row>
    <row r="26" spans="1:17">
      <c r="A26" s="94">
        <f>+A25+1</f>
        <v>8</v>
      </c>
      <c r="C26" s="60" t="s">
        <v>519</v>
      </c>
      <c r="D26" s="302" t="str">
        <f>"WS B-1 - Actual Stmt. AF Ln. " &amp;'WS B-1 - Actual Stmt. AF'!A73&amp;" (Note 1)"</f>
        <v>WS B-1 - Actual Stmt. AF Ln. 7 (Note 1)</v>
      </c>
      <c r="E26" s="895">
        <f>SUM('WS B-1 - Actual Stmt. AF'!Q73:S73)</f>
        <v>448610.21</v>
      </c>
      <c r="G26" s="885">
        <f>SUM('WS B-1 - Actual Stmt. AF'!M73:O73)</f>
        <v>476586.10000000003</v>
      </c>
      <c r="H26"/>
      <c r="I26" s="133">
        <f>IF(G26="",0,(E26+G26)/2)</f>
        <v>462598.15500000003</v>
      </c>
      <c r="J26" s="24"/>
      <c r="K26" s="25"/>
      <c r="L26" s="25"/>
      <c r="M26" s="25"/>
      <c r="N26" s="25"/>
      <c r="O26" s="25"/>
    </row>
    <row r="27" spans="1:17" ht="15">
      <c r="A27" s="94">
        <f>+A26+1</f>
        <v>9</v>
      </c>
      <c r="C27" s="60" t="s">
        <v>520</v>
      </c>
      <c r="D27" s="302" t="str">
        <f>"WS B-1 - Actual Stmt. AF Ln. " &amp;'WS B-1 - Actual Stmt. AF'!A72&amp;" (Note 1)"</f>
        <v>WS B-1 - Actual Stmt. AF Ln. 6 (Note 1)</v>
      </c>
      <c r="E27" s="888">
        <f>('WS B-1 - Actual Stmt. AF'!Q72+'WS B-1 - Actual Stmt. AF'!S72)-('WS B-1 - Actual Stmt. AF'!Q73+'WS B-1 - Actual Stmt. AF'!S73)</f>
        <v>947834633.0400002</v>
      </c>
      <c r="G27" s="886">
        <f>('WS B-1 - Actual Stmt. AF'!M72+'WS B-1 - Actual Stmt. AF'!O72)-('WS B-1 - Actual Stmt. AF'!M73+'WS B-1 - Actual Stmt. AF'!O73)</f>
        <v>947956629.94000006</v>
      </c>
      <c r="I27" s="211">
        <f>IF(G27="",0,(E27+G27)/2)</f>
        <v>947895631.49000013</v>
      </c>
      <c r="J27" s="24"/>
      <c r="K27" s="25"/>
      <c r="L27" s="25"/>
      <c r="M27" s="25"/>
      <c r="N27" s="25"/>
      <c r="O27" s="25"/>
    </row>
    <row r="28" spans="1:17">
      <c r="A28" s="94">
        <f>+A27+1</f>
        <v>10</v>
      </c>
      <c r="C28" s="60" t="s">
        <v>516</v>
      </c>
      <c r="D28" s="138" t="str">
        <f>"Ln "&amp;A25&amp;" - ln "&amp;A26&amp;" - ln "&amp;A27&amp;""</f>
        <v>Ln 7 - ln 8 - ln 9</v>
      </c>
      <c r="E28" s="25">
        <f>+E25-E26-E27</f>
        <v>466294965.6099999</v>
      </c>
      <c r="G28" s="25">
        <f>+G25-G26-G27</f>
        <v>436016527.62000036</v>
      </c>
      <c r="I28" s="133">
        <f>+I25-I26-I27</f>
        <v>451155746.61500013</v>
      </c>
      <c r="J28" s="24"/>
      <c r="K28" s="25"/>
      <c r="L28" s="25"/>
      <c r="M28" s="25"/>
      <c r="N28" s="25"/>
      <c r="O28" s="25"/>
    </row>
    <row r="29" spans="1:17">
      <c r="A29" s="94"/>
      <c r="C29" s="60"/>
      <c r="D29" s="138"/>
      <c r="J29" s="24"/>
      <c r="K29" s="25"/>
      <c r="L29" s="25"/>
      <c r="M29" s="25"/>
      <c r="N29" s="25"/>
      <c r="O29" s="25"/>
      <c r="P29" s="25"/>
      <c r="Q29" s="25"/>
    </row>
    <row r="30" spans="1:17">
      <c r="A30" s="94"/>
      <c r="C30" s="60"/>
      <c r="D30" s="138"/>
      <c r="E30" s="135"/>
      <c r="G30" s="135"/>
      <c r="J30" s="24"/>
      <c r="K30" s="25"/>
      <c r="L30" s="25"/>
      <c r="M30" s="25"/>
      <c r="N30" s="25"/>
      <c r="O30" s="25"/>
      <c r="P30" s="25"/>
      <c r="Q30" s="25"/>
    </row>
    <row r="31" spans="1:17" ht="15.75">
      <c r="A31" s="94">
        <f>+A28+1</f>
        <v>11</v>
      </c>
      <c r="C31" s="58" t="s">
        <v>511</v>
      </c>
      <c r="D31" s="138"/>
      <c r="J31" s="24"/>
      <c r="K31" s="25"/>
      <c r="L31" s="25"/>
      <c r="M31" s="25"/>
      <c r="N31" s="25"/>
      <c r="O31" s="25"/>
      <c r="P31" s="25"/>
      <c r="Q31" s="25"/>
    </row>
    <row r="32" spans="1:17" ht="15.75">
      <c r="A32" s="94"/>
      <c r="C32" s="58"/>
      <c r="D32" s="138"/>
      <c r="J32" s="24"/>
      <c r="K32" s="25"/>
      <c r="L32" s="25"/>
      <c r="M32" s="25"/>
      <c r="N32" s="25"/>
      <c r="O32" s="25"/>
      <c r="P32" s="25"/>
      <c r="Q32" s="25"/>
    </row>
    <row r="33" spans="1:17">
      <c r="A33" s="94">
        <f>+A31+1</f>
        <v>12</v>
      </c>
      <c r="C33" s="60" t="s">
        <v>515</v>
      </c>
      <c r="D33" s="85" t="s">
        <v>518</v>
      </c>
      <c r="E33" s="889">
        <f>SUM('WS B-1 - Actual Stmt. AF'!Q161:S161)</f>
        <v>151684311.31999996</v>
      </c>
      <c r="G33" s="891">
        <f>SUM('WS B-1 - Actual Stmt. AF'!M161:O161)</f>
        <v>154043770.97000003</v>
      </c>
      <c r="H33"/>
      <c r="I33" s="133">
        <f>IF(G33="",0,(E33+G33)/2)</f>
        <v>152864041.14499998</v>
      </c>
      <c r="J33" s="24"/>
      <c r="K33" s="25"/>
      <c r="L33" s="25"/>
      <c r="M33" s="25"/>
      <c r="N33" s="25"/>
      <c r="O33" s="25"/>
      <c r="P33" s="25"/>
      <c r="Q33" s="25"/>
    </row>
    <row r="34" spans="1:17">
      <c r="A34" s="94">
        <f>+A33+1</f>
        <v>13</v>
      </c>
      <c r="C34" s="60" t="s">
        <v>519</v>
      </c>
      <c r="D34" s="302" t="str">
        <f>"WS B-1 - Actual Stmt. AF Ln. " &amp;'WS B-1 - Actual Stmt. AF'!A162&amp;" (Note 1)"</f>
        <v>WS B-1 - Actual Stmt. AF Ln. 13 (Note 1)</v>
      </c>
      <c r="E34" s="895">
        <f>SUM('WS B-1 - Actual Stmt. AF'!Q162:S162)</f>
        <v>0</v>
      </c>
      <c r="G34" s="895">
        <f>SUM('WS B-1 - Actual Stmt. AF'!M162:O162)</f>
        <v>0</v>
      </c>
      <c r="H34"/>
      <c r="I34" s="133">
        <f>IF(G34="",0,(E34+G34)/2)</f>
        <v>0</v>
      </c>
      <c r="J34" s="24"/>
      <c r="K34" s="1076"/>
      <c r="L34" s="1076"/>
      <c r="M34" s="1076"/>
      <c r="N34" s="1076"/>
      <c r="O34" s="1076"/>
    </row>
    <row r="35" spans="1:17" ht="15">
      <c r="A35" s="94">
        <f>+A34+1</f>
        <v>14</v>
      </c>
      <c r="C35" s="60" t="s">
        <v>520</v>
      </c>
      <c r="D35" s="302" t="str">
        <f>"WS B-1 - Actual Stmt. AF Ln. " &amp;'WS B-1 - Actual Stmt. AF'!A161&amp;" (Note 1)"</f>
        <v>WS B-1 - Actual Stmt. AF Ln. 12 (Note 1)</v>
      </c>
      <c r="E35" s="890">
        <f>('WS B-1 - Actual Stmt. AF'!Q161+'WS B-1 - Actual Stmt. AF'!S161)-('WS B-1 - Actual Stmt. AF'!Q162+'WS B-1 - Actual Stmt. AF'!S162)</f>
        <v>121124461.06999998</v>
      </c>
      <c r="G35" s="892">
        <f>('WS B-1 - Actual Stmt. AF'!M161+'WS B-1 - Actual Stmt. AF'!O161)-('WS B-1 - Actual Stmt. AF'!M162+'WS B-1 - Actual Stmt. AF'!O162)</f>
        <v>126147044.49000001</v>
      </c>
      <c r="I35" s="211">
        <f>IF(G35="",0,(E35+G35)/2)</f>
        <v>123635752.78</v>
      </c>
      <c r="J35" s="24"/>
      <c r="K35" s="24"/>
    </row>
    <row r="36" spans="1:17">
      <c r="A36" s="94">
        <f>+A35+1</f>
        <v>15</v>
      </c>
      <c r="C36" s="60" t="s">
        <v>516</v>
      </c>
      <c r="D36" s="138" t="str">
        <f>"Ln "&amp;A33&amp;" - ln "&amp;A34&amp;" - ln "&amp;A35&amp;""</f>
        <v>Ln 12 - ln 13 - ln 14</v>
      </c>
      <c r="E36" s="25">
        <f>+E33-E34-E35</f>
        <v>30559850.249999985</v>
      </c>
      <c r="G36" s="25">
        <f>+G33-G34-G35</f>
        <v>27896726.480000019</v>
      </c>
      <c r="I36" s="133">
        <f>+I33-I34-I35</f>
        <v>29228288.36499998</v>
      </c>
      <c r="J36" s="24"/>
      <c r="K36" s="24"/>
    </row>
    <row r="37" spans="1:17" ht="15.75">
      <c r="A37" s="94"/>
      <c r="C37" s="58"/>
      <c r="D37" s="138"/>
      <c r="J37" s="24"/>
      <c r="K37" s="25"/>
      <c r="L37" s="25"/>
      <c r="M37" s="25"/>
      <c r="N37" s="25"/>
      <c r="O37" s="25"/>
      <c r="P37" s="25"/>
    </row>
    <row r="38" spans="1:17">
      <c r="A38" s="94"/>
      <c r="C38" s="60"/>
      <c r="D38" s="138"/>
      <c r="J38" s="24"/>
      <c r="K38" s="25"/>
      <c r="L38" s="25"/>
      <c r="M38" s="25"/>
      <c r="N38" s="25"/>
      <c r="O38" s="25"/>
      <c r="P38" s="25"/>
    </row>
    <row r="39" spans="1:17" ht="15.75">
      <c r="A39" s="94">
        <f>+A36+1</f>
        <v>16</v>
      </c>
      <c r="C39" s="58" t="s">
        <v>512</v>
      </c>
      <c r="D39" s="138"/>
      <c r="J39" s="24"/>
      <c r="K39" s="25"/>
      <c r="L39" s="25"/>
      <c r="M39" s="25"/>
      <c r="N39" s="25"/>
      <c r="O39" s="25"/>
      <c r="P39" s="25"/>
    </row>
    <row r="40" spans="1:17">
      <c r="A40" s="94"/>
      <c r="C40" s="60"/>
      <c r="D40" s="138"/>
      <c r="J40" s="24"/>
      <c r="K40" s="25"/>
      <c r="L40" s="25"/>
      <c r="M40" s="25"/>
      <c r="N40" s="25"/>
      <c r="O40" s="25"/>
      <c r="P40" s="25"/>
    </row>
    <row r="41" spans="1:17">
      <c r="A41" s="94">
        <f>+A39+1</f>
        <v>17</v>
      </c>
      <c r="C41" s="60" t="s">
        <v>515</v>
      </c>
      <c r="D41" s="85" t="s">
        <v>514</v>
      </c>
      <c r="E41" s="893">
        <f>SUM('WS B-2 - Actual Stmt. AG'!Q104:S104)</f>
        <v>84406848.24000001</v>
      </c>
      <c r="G41" s="895">
        <f>SUM('WS B-2 - Actual Stmt. AG'!M104:O104)</f>
        <v>88109792.459999993</v>
      </c>
      <c r="H41"/>
      <c r="I41" s="133">
        <f>IF(G41="",0,(E41+G41)/2)</f>
        <v>86258320.349999994</v>
      </c>
      <c r="J41" s="24"/>
      <c r="K41" s="25"/>
      <c r="L41" s="25"/>
      <c r="M41" s="25"/>
      <c r="N41" s="25"/>
      <c r="O41" s="25"/>
    </row>
    <row r="42" spans="1:17">
      <c r="A42" s="94">
        <f>+A41+1</f>
        <v>18</v>
      </c>
      <c r="C42" s="60" t="s">
        <v>519</v>
      </c>
      <c r="D42" s="302" t="str">
        <f>"WS B-2 - Actual Stmt. AG Ln. " &amp;'WS B-2 - Actual Stmt. AG'!A105&amp;" (Note 1)"</f>
        <v>WS B-2 - Actual Stmt. AG Ln. 4 (Note 1)</v>
      </c>
      <c r="E42" s="895">
        <f>SUM('WS B-2 - Actual Stmt. AG'!Q105:S105)</f>
        <v>396915.06</v>
      </c>
      <c r="G42" s="895">
        <f>SUM('WS B-2 - Actual Stmt. AG'!M105:O105)</f>
        <v>387729.21</v>
      </c>
      <c r="H42"/>
      <c r="I42" s="133">
        <f>IF(G42="",0,(E42+G42)/2)</f>
        <v>392322.13500000001</v>
      </c>
      <c r="J42" s="24"/>
      <c r="K42" s="25"/>
      <c r="L42" s="25"/>
      <c r="M42" s="25"/>
      <c r="N42" s="25"/>
      <c r="O42" s="25"/>
    </row>
    <row r="43" spans="1:17" ht="15">
      <c r="A43" s="94">
        <f>+A42+1</f>
        <v>19</v>
      </c>
      <c r="C43" s="60" t="s">
        <v>520</v>
      </c>
      <c r="D43" s="302" t="str">
        <f>"WS B-2 - Actual Stmt. AG Ln. " &amp;'WS B-2 - Actual Stmt. AG'!A104&amp;" (Note 1)"</f>
        <v>WS B-2 - Actual Stmt. AG Ln. 3 (Note 1)</v>
      </c>
      <c r="E43" s="894">
        <f>('WS B-2 - Actual Stmt. AG'!Q104+'WS B-2 - Actual Stmt. AG'!S104)-('WS B-2 - Actual Stmt. AG'!Q105+'WS B-2 - Actual Stmt. AG'!S105)</f>
        <v>67360244.530000001</v>
      </c>
      <c r="G43" s="896">
        <f>SUM('WS B-2 - Actual Stmt. AG'!M104+'WS B-2 - Actual Stmt. AG'!O104)-('WS B-2 - Actual Stmt. AG'!M105+'WS B-2 - Actual Stmt. AG'!O105)</f>
        <v>71958648.50999999</v>
      </c>
      <c r="I43" s="211">
        <f>IF(G43="",0,(E43+G43)/2)</f>
        <v>69659446.519999996</v>
      </c>
      <c r="J43" s="24"/>
      <c r="K43" s="25"/>
      <c r="L43" s="25"/>
      <c r="M43" s="25"/>
      <c r="N43" s="25"/>
      <c r="O43" s="25"/>
    </row>
    <row r="44" spans="1:17">
      <c r="A44" s="94">
        <f>+A43+1</f>
        <v>20</v>
      </c>
      <c r="C44" s="60" t="s">
        <v>516</v>
      </c>
      <c r="D44" s="138" t="str">
        <f>"Ln "&amp;A41&amp;" - ln "&amp;A42&amp;" - ln "&amp;A43&amp;""</f>
        <v>Ln 17 - ln 18 - ln 19</v>
      </c>
      <c r="E44" s="25">
        <f>+E41-E42-E43</f>
        <v>16649688.650000006</v>
      </c>
      <c r="G44" s="25">
        <f>+G41-G42-G43</f>
        <v>15763414.74000001</v>
      </c>
      <c r="I44" s="133">
        <f>+I41-I42-I43</f>
        <v>16206551.694999993</v>
      </c>
      <c r="J44" s="24"/>
      <c r="K44" s="24"/>
    </row>
    <row r="45" spans="1:17">
      <c r="A45" s="94"/>
      <c r="C45" s="60"/>
      <c r="D45" s="138"/>
      <c r="J45" s="24"/>
      <c r="K45" s="24"/>
    </row>
    <row r="46" spans="1:17">
      <c r="A46" s="94"/>
      <c r="C46" s="60"/>
      <c r="D46" s="138"/>
      <c r="J46" s="24"/>
      <c r="K46" s="24"/>
    </row>
    <row r="47" spans="1:17" ht="15.75">
      <c r="A47" s="94">
        <f>+A44+1</f>
        <v>21</v>
      </c>
      <c r="C47" s="58" t="s">
        <v>513</v>
      </c>
      <c r="D47" s="138"/>
      <c r="J47" s="24"/>
      <c r="K47" s="24"/>
    </row>
    <row r="48" spans="1:17">
      <c r="A48" s="94"/>
      <c r="C48" s="60"/>
      <c r="D48" s="138"/>
      <c r="J48" s="24"/>
      <c r="K48" s="25"/>
      <c r="L48" s="25"/>
      <c r="M48" s="25"/>
      <c r="N48" s="25"/>
      <c r="O48" s="25"/>
    </row>
    <row r="49" spans="1:15">
      <c r="A49" s="94">
        <f>+A47+1</f>
        <v>22</v>
      </c>
      <c r="C49" s="60" t="s">
        <v>521</v>
      </c>
      <c r="D49" s="85" t="s">
        <v>470</v>
      </c>
      <c r="E49" s="843">
        <f>SUM('WS B-1 - Actual Stmt. AF'!Q175:S175)</f>
        <v>512</v>
      </c>
      <c r="G49" s="843">
        <f>SUM('WS B-1 - Actual Stmt. AF'!M175:O175)</f>
        <v>512</v>
      </c>
      <c r="H49"/>
      <c r="I49" s="133">
        <f>IF(G49="",0,(E49+G49)/2)</f>
        <v>512</v>
      </c>
      <c r="J49" s="24"/>
      <c r="K49" s="25"/>
      <c r="L49" s="25"/>
      <c r="M49" s="25"/>
      <c r="N49" s="25"/>
      <c r="O49" s="25"/>
    </row>
    <row r="50" spans="1:15" ht="15">
      <c r="A50" s="94">
        <f>+A49+1</f>
        <v>23</v>
      </c>
      <c r="C50" s="60" t="s">
        <v>522</v>
      </c>
      <c r="D50" s="302" t="s">
        <v>67</v>
      </c>
      <c r="E50" s="896">
        <v>0</v>
      </c>
      <c r="G50" s="896">
        <v>0</v>
      </c>
      <c r="H50"/>
      <c r="I50" s="211">
        <f>IF(G50="",0,(E50+G50)/2)</f>
        <v>0</v>
      </c>
      <c r="J50" s="24"/>
      <c r="K50" s="25"/>
      <c r="L50" s="25"/>
      <c r="M50" s="25"/>
      <c r="N50" s="25"/>
      <c r="O50" s="25"/>
    </row>
    <row r="51" spans="1:15">
      <c r="A51" s="94">
        <f>+A50+1</f>
        <v>24</v>
      </c>
      <c r="C51" s="60" t="s">
        <v>388</v>
      </c>
      <c r="D51" s="138" t="str">
        <f>"Ln "&amp;A49&amp;" - ln "&amp;A50&amp;""</f>
        <v>Ln 22 - ln 23</v>
      </c>
      <c r="E51" s="25">
        <f>+E49-E50</f>
        <v>512</v>
      </c>
      <c r="G51" s="25">
        <f>+G49-G50</f>
        <v>512</v>
      </c>
      <c r="H51"/>
      <c r="I51" s="133">
        <f>+I49-I50</f>
        <v>512</v>
      </c>
      <c r="J51" s="24"/>
      <c r="K51" s="25"/>
      <c r="L51" s="25"/>
      <c r="M51" s="25"/>
      <c r="N51" s="25"/>
      <c r="O51" s="25"/>
    </row>
    <row r="52" spans="1:15">
      <c r="A52" s="94">
        <f>+A51+1</f>
        <v>25</v>
      </c>
      <c r="C52" s="60" t="s">
        <v>516</v>
      </c>
      <c r="D52" s="302" t="str">
        <f>"WS B-1 - Actual Stmt. AF Ln. " &amp;'WS B-1 - Actual Stmt. AF'!A175&amp;" (Note 1)"</f>
        <v>WS B-1 - Actual Stmt. AF Ln. 20 (Note 1)</v>
      </c>
      <c r="E52" s="843">
        <f>'WS B-1 - Actual Stmt. AF'!R175</f>
        <v>0</v>
      </c>
      <c r="G52" s="843">
        <f>'WS B-1 - Actual Stmt. AF'!N175</f>
        <v>0</v>
      </c>
      <c r="H52"/>
      <c r="I52" s="133">
        <f>IF(G52="",0,(E52+G52)/2)</f>
        <v>0</v>
      </c>
      <c r="J52" s="24"/>
      <c r="K52" s="25"/>
      <c r="L52" s="25"/>
      <c r="M52" s="25"/>
      <c r="N52" s="25"/>
      <c r="O52" s="25"/>
    </row>
    <row r="53" spans="1:15">
      <c r="A53" s="94"/>
      <c r="C53" s="60"/>
      <c r="D53" s="60"/>
      <c r="J53" s="24"/>
      <c r="K53" s="25"/>
      <c r="L53" s="25"/>
      <c r="M53" s="25"/>
      <c r="N53" s="25"/>
      <c r="O53" s="25"/>
    </row>
    <row r="54" spans="1:15">
      <c r="A54" s="83" t="s">
        <v>68</v>
      </c>
      <c r="C54" s="1662" t="s">
        <v>815</v>
      </c>
      <c r="D54" s="1662"/>
      <c r="E54" s="1662"/>
      <c r="F54" s="1662"/>
      <c r="G54" s="1662"/>
      <c r="H54" s="1662"/>
      <c r="I54" s="1662"/>
      <c r="J54" s="24"/>
      <c r="K54" s="24"/>
    </row>
    <row r="55" spans="1:15">
      <c r="A55" s="83"/>
      <c r="C55" s="1662"/>
      <c r="D55" s="1662"/>
      <c r="E55" s="1662"/>
      <c r="F55" s="1662"/>
      <c r="G55" s="1662"/>
      <c r="H55" s="1662"/>
      <c r="I55" s="1662"/>
      <c r="J55" s="24"/>
      <c r="K55" s="24"/>
    </row>
    <row r="56" spans="1:15">
      <c r="A56" s="94"/>
      <c r="C56" s="60"/>
      <c r="D56" s="60"/>
    </row>
    <row r="57" spans="1:15">
      <c r="A57" s="94" t="s">
        <v>69</v>
      </c>
      <c r="B57" s="34" t="s">
        <v>70</v>
      </c>
      <c r="C57" s="60"/>
      <c r="D57" s="60"/>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topLeftCell="A13" zoomScale="60" zoomScaleNormal="100" workbookViewId="0">
      <selection activeCell="A17" sqref="A17:B50"/>
    </sheetView>
  </sheetViews>
  <sheetFormatPr defaultRowHeight="12.75"/>
  <cols>
    <col min="1" max="1" width="28.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1255</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63">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881">
        <f>'WSQ NSPR'!F15</f>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1256</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81.75"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75"/>
  <sheetViews>
    <sheetView view="pageBreakPreview" topLeftCell="A130" zoomScale="85" zoomScaleNormal="50" zoomScaleSheetLayoutView="85" workbookViewId="0">
      <selection activeCell="S173" sqref="S173"/>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0"/>
      <c r="B1" s="1120" t="str">
        <f>TCOS!F9</f>
        <v>Ohio Power Company</v>
      </c>
      <c r="C1" s="1041"/>
      <c r="D1" s="1041"/>
      <c r="E1" s="1041"/>
      <c r="F1" s="1041"/>
      <c r="G1" s="1042"/>
      <c r="H1" s="1042"/>
      <c r="I1" s="1042"/>
      <c r="J1" s="1042"/>
      <c r="K1" s="1042"/>
      <c r="L1" s="1042"/>
      <c r="M1" s="1041"/>
      <c r="N1" s="1041"/>
      <c r="O1" s="1041"/>
      <c r="P1" s="1041"/>
      <c r="Q1" s="1041"/>
      <c r="R1" s="1041"/>
      <c r="S1" s="1042"/>
    </row>
    <row r="2" spans="1:19">
      <c r="A2" s="1060"/>
      <c r="B2" s="1040" t="s">
        <v>817</v>
      </c>
      <c r="C2" s="1041"/>
      <c r="D2" s="1041"/>
      <c r="E2" s="1041"/>
      <c r="F2" s="1041"/>
      <c r="G2" s="1042"/>
      <c r="H2" s="1042"/>
      <c r="I2" s="1042"/>
      <c r="J2" s="1042"/>
      <c r="K2" s="1042"/>
      <c r="L2" s="1042"/>
      <c r="M2" s="1041"/>
      <c r="N2" s="1041"/>
      <c r="O2" s="1041"/>
      <c r="P2" s="1041"/>
      <c r="Q2" s="1041"/>
      <c r="R2" s="1041"/>
      <c r="S2" s="1042"/>
    </row>
    <row r="3" spans="1:19">
      <c r="A3" s="1060"/>
      <c r="B3" s="1082" t="str">
        <f>"PERIOD ENDED DECEMBER 31, "&amp;TCOS!L4</f>
        <v>PERIOD ENDED DECEMBER 31, 2021</v>
      </c>
      <c r="C3" s="1041"/>
      <c r="D3" s="1041"/>
      <c r="E3" s="1041"/>
      <c r="F3" s="1041"/>
      <c r="G3" s="1041"/>
      <c r="H3" s="1041"/>
      <c r="I3" s="1041"/>
      <c r="J3" s="1041"/>
      <c r="K3" s="1041"/>
      <c r="L3" s="1041"/>
      <c r="M3" s="1041"/>
      <c r="N3" s="1041"/>
      <c r="O3" s="1041"/>
      <c r="P3" s="1041"/>
      <c r="Q3" s="1041"/>
      <c r="R3" s="1041"/>
      <c r="S3" s="1041"/>
    </row>
    <row r="4" spans="1:19">
      <c r="A4" s="1060"/>
      <c r="B4" s="1041"/>
      <c r="C4" s="1041"/>
      <c r="D4" s="1041"/>
      <c r="E4" s="1041"/>
      <c r="F4" s="1041"/>
      <c r="G4" s="963" t="s">
        <v>692</v>
      </c>
      <c r="H4" s="963"/>
      <c r="I4" s="963"/>
      <c r="J4" s="963"/>
      <c r="K4" s="963"/>
      <c r="L4" s="963"/>
      <c r="M4" s="1041"/>
      <c r="N4" s="1041"/>
      <c r="O4" s="1041"/>
      <c r="P4" s="1041"/>
      <c r="Q4" s="1041"/>
      <c r="R4" s="1041"/>
      <c r="S4" s="1041"/>
    </row>
    <row r="5" spans="1:19">
      <c r="A5" s="1060"/>
      <c r="B5" s="1043"/>
      <c r="C5" s="1041"/>
      <c r="D5" s="1041"/>
      <c r="E5" s="1041"/>
      <c r="F5" s="1041"/>
      <c r="G5" s="1041"/>
      <c r="H5" s="1041"/>
      <c r="I5" s="1041"/>
      <c r="J5" s="1041"/>
      <c r="K5" s="1041"/>
      <c r="L5" s="1041"/>
      <c r="M5" s="1041"/>
      <c r="N5" s="1041"/>
      <c r="O5" s="1041"/>
      <c r="P5" s="1041"/>
      <c r="Q5" s="1041"/>
      <c r="R5" s="1041"/>
      <c r="S5" s="1041"/>
    </row>
    <row r="6" spans="1:19">
      <c r="A6" s="1060"/>
      <c r="B6" s="1041"/>
      <c r="C6" s="1041"/>
      <c r="D6" s="1041"/>
      <c r="E6" s="1041"/>
      <c r="F6" s="1041"/>
      <c r="G6" s="1041"/>
      <c r="H6" s="1041"/>
      <c r="I6" s="1041"/>
      <c r="J6" s="1041"/>
      <c r="K6" s="1041"/>
      <c r="L6" s="1041"/>
      <c r="M6" s="1041"/>
      <c r="N6" s="1041"/>
      <c r="O6" s="1041"/>
      <c r="P6" s="1041"/>
      <c r="Q6" s="1041"/>
      <c r="R6" s="1041"/>
      <c r="S6" s="1041"/>
    </row>
    <row r="7" spans="1:19">
      <c r="A7" s="1060"/>
      <c r="B7" s="1041"/>
      <c r="C7" s="1041"/>
      <c r="D7" s="1041"/>
      <c r="E7" s="1041"/>
      <c r="F7" s="1041"/>
      <c r="G7" s="1041"/>
      <c r="H7" s="1041"/>
      <c r="I7" s="1041"/>
      <c r="J7" s="1041"/>
      <c r="K7" s="1041"/>
      <c r="L7" s="1041"/>
      <c r="M7" s="1041"/>
      <c r="N7" s="1041"/>
      <c r="O7" s="1041"/>
      <c r="P7" s="1041"/>
      <c r="Q7" s="1041"/>
      <c r="R7" s="1041"/>
      <c r="S7" s="1041"/>
    </row>
    <row r="8" spans="1:19">
      <c r="A8" s="1060"/>
      <c r="B8" s="1044" t="s">
        <v>693</v>
      </c>
      <c r="C8" s="1044" t="s">
        <v>694</v>
      </c>
      <c r="D8" s="1044" t="s">
        <v>695</v>
      </c>
      <c r="E8" s="1044" t="s">
        <v>696</v>
      </c>
      <c r="F8" s="1044" t="s">
        <v>697</v>
      </c>
      <c r="G8" s="1044" t="s">
        <v>698</v>
      </c>
      <c r="H8" s="1044"/>
      <c r="I8" s="1044" t="s">
        <v>699</v>
      </c>
      <c r="J8" s="1044" t="s">
        <v>700</v>
      </c>
      <c r="K8" s="1044" t="s">
        <v>701</v>
      </c>
      <c r="L8" s="1044"/>
      <c r="M8" s="1044" t="s">
        <v>702</v>
      </c>
      <c r="N8" s="1044" t="s">
        <v>703</v>
      </c>
      <c r="O8" s="1044" t="s">
        <v>704</v>
      </c>
      <c r="P8" s="1041"/>
      <c r="Q8" s="1044" t="s">
        <v>705</v>
      </c>
      <c r="R8" s="1044" t="s">
        <v>706</v>
      </c>
      <c r="S8" s="1044" t="s">
        <v>707</v>
      </c>
    </row>
    <row r="9" spans="1:19">
      <c r="A9" s="1060"/>
      <c r="B9" s="1041"/>
      <c r="C9" s="1041"/>
      <c r="D9" s="1041"/>
      <c r="E9" s="1041"/>
      <c r="F9" s="1041"/>
      <c r="G9" s="1041"/>
      <c r="H9" s="1041"/>
      <c r="I9" s="1041"/>
      <c r="J9" s="1041"/>
      <c r="K9" s="1041"/>
      <c r="L9" s="1041"/>
      <c r="M9" s="1041"/>
      <c r="N9" s="1041"/>
      <c r="O9" s="1041"/>
      <c r="P9" s="1041"/>
      <c r="Q9" s="1041"/>
      <c r="R9" s="1041"/>
      <c r="S9" s="1041"/>
    </row>
    <row r="10" spans="1:19">
      <c r="A10" s="1060"/>
      <c r="B10" s="1041"/>
      <c r="C10" s="1045" t="s">
        <v>708</v>
      </c>
      <c r="D10" s="1045"/>
      <c r="E10" s="1046" t="s">
        <v>709</v>
      </c>
      <c r="F10" s="1045"/>
      <c r="G10" s="22" t="s">
        <v>710</v>
      </c>
      <c r="H10" s="22"/>
      <c r="I10" s="1047" t="s">
        <v>711</v>
      </c>
      <c r="J10" s="1045"/>
      <c r="K10" s="1045"/>
      <c r="L10" s="22"/>
      <c r="M10" s="1047" t="str">
        <f>"FUNCTIONALIZATION 12/31/"&amp;TCOS!L4-1</f>
        <v>FUNCTIONALIZATION 12/31/2020</v>
      </c>
      <c r="N10" s="1045"/>
      <c r="O10" s="1045"/>
      <c r="P10" s="1041"/>
      <c r="Q10" s="1047" t="str">
        <f>"FUNCTIONALIZATION 12/31/"&amp;TCOS!L4</f>
        <v>FUNCTIONALIZATION 12/31/2021</v>
      </c>
      <c r="R10" s="1045"/>
      <c r="S10" s="1045"/>
    </row>
    <row r="11" spans="1:19">
      <c r="A11" s="1060"/>
      <c r="B11" s="1041"/>
      <c r="C11" s="1049"/>
      <c r="D11" s="1049"/>
      <c r="E11" s="1041"/>
      <c r="F11" s="1041"/>
      <c r="G11" s="22" t="s">
        <v>712</v>
      </c>
      <c r="H11" s="22"/>
      <c r="I11" s="1049"/>
      <c r="J11" s="1049"/>
      <c r="K11" s="1049"/>
      <c r="L11" s="22"/>
      <c r="M11" s="1049"/>
      <c r="N11" s="1049"/>
      <c r="O11" s="1049"/>
      <c r="P11" s="1041"/>
      <c r="Q11" s="1049"/>
      <c r="R11" s="1049"/>
      <c r="S11" s="1049"/>
    </row>
    <row r="12" spans="1:19" s="21" customFormat="1">
      <c r="A12" s="1060"/>
      <c r="B12" s="1041"/>
      <c r="C12" s="22" t="s">
        <v>713</v>
      </c>
      <c r="D12" s="22" t="s">
        <v>713</v>
      </c>
      <c r="E12" s="22" t="s">
        <v>713</v>
      </c>
      <c r="F12" s="22" t="s">
        <v>713</v>
      </c>
      <c r="G12" s="22" t="s">
        <v>714</v>
      </c>
      <c r="H12" s="22"/>
      <c r="I12" s="1041"/>
      <c r="J12" s="1041"/>
      <c r="K12" s="1041"/>
      <c r="L12" s="22"/>
      <c r="M12" s="1041"/>
      <c r="N12" s="1041"/>
      <c r="O12" s="1041"/>
      <c r="P12" s="1041"/>
      <c r="Q12" s="1041"/>
      <c r="R12" s="1041"/>
      <c r="S12" s="1041"/>
    </row>
    <row r="13" spans="1:19" s="21" customFormat="1">
      <c r="A13" s="1060"/>
      <c r="B13" s="1044" t="s">
        <v>715</v>
      </c>
      <c r="C13" s="1044" t="str">
        <f>"OF 12-31-"&amp;TCOS!L4-1</f>
        <v>OF 12-31-2020</v>
      </c>
      <c r="D13" s="1044" t="str">
        <f>"OF 12-31-"&amp;TCOS!L4</f>
        <v>OF 12-31-2021</v>
      </c>
      <c r="E13" s="1044" t="str">
        <f>"OF 12-31-"&amp;TCOS!L4-1</f>
        <v>OF 12-31-2020</v>
      </c>
      <c r="F13" s="1044" t="str">
        <f>"OF 12-31-"&amp;TCOS!L4</f>
        <v>OF 12-31-2021</v>
      </c>
      <c r="G13" s="1044" t="s">
        <v>716</v>
      </c>
      <c r="H13" s="1044"/>
      <c r="I13" s="1044" t="s">
        <v>717</v>
      </c>
      <c r="J13" s="1044" t="s">
        <v>718</v>
      </c>
      <c r="K13" s="1044" t="s">
        <v>719</v>
      </c>
      <c r="L13" s="1044"/>
      <c r="M13" s="1044" t="s">
        <v>717</v>
      </c>
      <c r="N13" s="1044" t="s">
        <v>718</v>
      </c>
      <c r="O13" s="1044" t="s">
        <v>719</v>
      </c>
      <c r="P13" s="1041"/>
      <c r="Q13" s="1044" t="s">
        <v>717</v>
      </c>
      <c r="R13" s="1044" t="s">
        <v>718</v>
      </c>
      <c r="S13" s="1044" t="s">
        <v>719</v>
      </c>
    </row>
    <row r="14" spans="1:19">
      <c r="A14" s="1060"/>
      <c r="B14" s="1041"/>
      <c r="C14" s="1041"/>
      <c r="D14" s="1041"/>
      <c r="E14" s="1041"/>
      <c r="F14" s="1041"/>
      <c r="G14" s="1041"/>
      <c r="H14" s="1041"/>
      <c r="I14" s="1041"/>
      <c r="J14" s="1041"/>
      <c r="K14" s="1041"/>
      <c r="L14" s="1041"/>
      <c r="M14" s="1041"/>
      <c r="N14" s="1041"/>
      <c r="O14" s="1041"/>
      <c r="P14" s="1041"/>
      <c r="Q14" s="1041"/>
      <c r="R14" s="1041"/>
      <c r="S14" s="1041"/>
    </row>
    <row r="15" spans="1:19">
      <c r="A15" s="1081">
        <v>1</v>
      </c>
      <c r="B15" s="843" t="s">
        <v>720</v>
      </c>
      <c r="C15" s="1051"/>
      <c r="D15" s="1051"/>
      <c r="E15" s="1051"/>
      <c r="F15" s="1052"/>
      <c r="G15" s="1051"/>
      <c r="H15" s="1051"/>
      <c r="I15" s="1051"/>
      <c r="J15" s="1051"/>
      <c r="K15" s="1051"/>
      <c r="L15" s="1051"/>
      <c r="M15" s="1051"/>
      <c r="N15" s="1051"/>
      <c r="O15" s="1051"/>
      <c r="P15" s="1051"/>
      <c r="Q15" s="1051"/>
      <c r="R15" s="1051"/>
      <c r="S15" s="1051"/>
    </row>
    <row r="16" spans="1:19">
      <c r="A16" s="1081">
        <v>2.0099999999999998</v>
      </c>
      <c r="B16" s="843"/>
      <c r="C16" s="1051"/>
      <c r="D16" s="1051"/>
      <c r="E16" s="1051"/>
      <c r="F16" s="1051"/>
      <c r="G16" s="1051"/>
      <c r="H16" s="1051"/>
      <c r="I16" s="1051"/>
      <c r="J16" s="1051"/>
      <c r="K16" s="1051"/>
      <c r="L16" s="1051"/>
      <c r="M16" s="1051"/>
      <c r="N16" s="1051"/>
      <c r="O16" s="1051"/>
      <c r="P16" s="1051"/>
      <c r="Q16" s="1051"/>
      <c r="R16" s="1051"/>
      <c r="S16" s="1051"/>
    </row>
    <row r="17" spans="1:19">
      <c r="A17" s="1081">
        <v>2.02</v>
      </c>
      <c r="B17" s="843"/>
      <c r="C17" s="1051">
        <f>SUM(M17:O17)</f>
        <v>0</v>
      </c>
      <c r="D17" s="1051">
        <f>SUM(Q17:S17)</f>
        <v>0</v>
      </c>
      <c r="E17" s="1051"/>
      <c r="F17" s="1051"/>
      <c r="G17" s="1051">
        <f>ROUND(SUM(C17:F17)/2,0)</f>
        <v>0</v>
      </c>
      <c r="H17" s="1051"/>
      <c r="I17" s="1051">
        <f>(M17+Q17)/2</f>
        <v>0</v>
      </c>
      <c r="J17" s="1051">
        <f>(N17+R17)/2</f>
        <v>0</v>
      </c>
      <c r="K17" s="1051">
        <f>(O17+S17)/2</f>
        <v>0</v>
      </c>
      <c r="L17" s="1051"/>
      <c r="M17" s="843"/>
      <c r="N17" s="843"/>
      <c r="O17" s="843"/>
      <c r="P17" s="1051"/>
      <c r="Q17" s="843"/>
      <c r="R17" s="843"/>
      <c r="S17" s="843"/>
    </row>
    <row r="18" spans="1:19">
      <c r="A18" s="1081">
        <v>2.0299999999999998</v>
      </c>
      <c r="B18" s="843"/>
      <c r="C18" s="1051"/>
      <c r="D18" s="1051"/>
      <c r="E18" s="1051"/>
      <c r="F18" s="1051"/>
      <c r="G18" s="1051"/>
      <c r="H18" s="1051"/>
      <c r="I18" s="1051"/>
      <c r="J18" s="1051"/>
      <c r="K18" s="1051"/>
      <c r="L18" s="1051"/>
      <c r="M18" s="1051"/>
      <c r="N18" s="1051"/>
      <c r="O18" s="1051"/>
      <c r="P18" s="1051"/>
      <c r="Q18" s="1051"/>
      <c r="R18" s="1051"/>
      <c r="S18" s="1051"/>
    </row>
    <row r="19" spans="1:19">
      <c r="A19" s="1081">
        <v>2.04</v>
      </c>
      <c r="B19" s="843"/>
      <c r="C19" s="1051">
        <v>0</v>
      </c>
      <c r="D19" s="1051">
        <v>0</v>
      </c>
      <c r="E19" s="1051">
        <f t="shared" ref="E19:F21" si="0">-C19</f>
        <v>0</v>
      </c>
      <c r="F19" s="1051">
        <f t="shared" si="0"/>
        <v>0</v>
      </c>
      <c r="G19" s="1051">
        <f>ROUND(SUM(C19:F19)/2,0)</f>
        <v>0</v>
      </c>
      <c r="H19" s="1051"/>
      <c r="I19" s="1051"/>
      <c r="J19" s="1051"/>
      <c r="K19" s="1051"/>
      <c r="L19" s="1051"/>
      <c r="M19" s="1051"/>
      <c r="N19" s="1051"/>
      <c r="O19" s="1051"/>
      <c r="P19" s="1051"/>
      <c r="Q19" s="1051"/>
      <c r="R19" s="1051"/>
      <c r="S19" s="1051"/>
    </row>
    <row r="20" spans="1:19">
      <c r="A20" s="1081">
        <v>2.0499999999999998</v>
      </c>
      <c r="B20" s="843"/>
      <c r="C20" s="1051">
        <v>0</v>
      </c>
      <c r="D20" s="1051">
        <v>0</v>
      </c>
      <c r="E20" s="1051">
        <f t="shared" si="0"/>
        <v>0</v>
      </c>
      <c r="F20" s="1051">
        <f t="shared" si="0"/>
        <v>0</v>
      </c>
      <c r="G20" s="1051">
        <f>ROUND(SUM(C20:F20)/2,0)</f>
        <v>0</v>
      </c>
      <c r="H20" s="1051"/>
      <c r="I20" s="1051"/>
      <c r="J20" s="1051"/>
      <c r="K20" s="1051"/>
      <c r="L20" s="1051"/>
      <c r="M20" s="1051"/>
      <c r="N20" s="1051"/>
      <c r="O20" s="1051"/>
      <c r="P20" s="1051"/>
      <c r="Q20" s="1051"/>
      <c r="R20" s="1051"/>
      <c r="S20" s="1051"/>
    </row>
    <row r="21" spans="1:19">
      <c r="A21" s="1081">
        <v>2.06</v>
      </c>
      <c r="B21" s="843"/>
      <c r="C21" s="1051">
        <v>0</v>
      </c>
      <c r="D21" s="1051">
        <v>0</v>
      </c>
      <c r="E21" s="1051">
        <f t="shared" si="0"/>
        <v>0</v>
      </c>
      <c r="F21" s="1051">
        <f t="shared" si="0"/>
        <v>0</v>
      </c>
      <c r="G21" s="1051">
        <f>ROUND(SUM(C21:F21)/2,0)</f>
        <v>0</v>
      </c>
      <c r="H21" s="1051"/>
      <c r="I21" s="1051"/>
      <c r="J21" s="1051"/>
      <c r="K21" s="1051"/>
      <c r="L21" s="1051"/>
      <c r="M21" s="1051"/>
      <c r="N21" s="1051"/>
      <c r="O21" s="1051"/>
      <c r="P21" s="1051"/>
      <c r="Q21" s="1051"/>
      <c r="R21" s="1051"/>
      <c r="S21" s="1051"/>
    </row>
    <row r="22" spans="1:19">
      <c r="A22" s="1077"/>
      <c r="B22" s="1041"/>
      <c r="C22" s="1051"/>
      <c r="D22" s="1051"/>
      <c r="E22" s="1051"/>
      <c r="F22" s="1051"/>
      <c r="G22" s="1051"/>
      <c r="H22" s="1051"/>
      <c r="I22" s="1051"/>
      <c r="J22" s="1051"/>
      <c r="K22" s="1051"/>
      <c r="L22" s="1051"/>
      <c r="M22" s="1051"/>
      <c r="N22" s="1051"/>
      <c r="O22" s="1051"/>
      <c r="P22" s="1051"/>
      <c r="Q22" s="1051"/>
      <c r="R22" s="1051"/>
      <c r="S22" s="1051"/>
    </row>
    <row r="23" spans="1:19" ht="13.5" thickBot="1">
      <c r="A23" s="1061">
        <v>3</v>
      </c>
      <c r="B23" s="241" t="s">
        <v>721</v>
      </c>
      <c r="C23" s="1054">
        <f>SUM(C17:C22)</f>
        <v>0</v>
      </c>
      <c r="D23" s="1054">
        <f>SUM(D17:D22)</f>
        <v>0</v>
      </c>
      <c r="E23" s="1054">
        <f>SUM(E17:E22)</f>
        <v>0</v>
      </c>
      <c r="F23" s="1054">
        <f>SUM(F17:F22)</f>
        <v>0</v>
      </c>
      <c r="G23" s="1054">
        <f>SUM(G17:G22)</f>
        <v>0</v>
      </c>
      <c r="H23" s="1051"/>
      <c r="I23" s="1054">
        <f>SUM(I17:I22)</f>
        <v>0</v>
      </c>
      <c r="J23" s="1054">
        <f>SUM(J17:J22)</f>
        <v>0</v>
      </c>
      <c r="K23" s="1054">
        <f>SUM(K17:K22)</f>
        <v>0</v>
      </c>
      <c r="L23" s="1051"/>
      <c r="M23" s="1054">
        <f>SUM(M17:M22)</f>
        <v>0</v>
      </c>
      <c r="N23" s="1054">
        <f>SUM(N17:N22)</f>
        <v>0</v>
      </c>
      <c r="O23" s="1054">
        <f>SUM(O17:O22)</f>
        <v>0</v>
      </c>
      <c r="P23" s="1051"/>
      <c r="Q23" s="1054">
        <f>SUM(Q17:Q22)</f>
        <v>0</v>
      </c>
      <c r="R23" s="1054">
        <f>SUM(R17:R22)</f>
        <v>0</v>
      </c>
      <c r="S23" s="1054">
        <f>SUM(S17:S22)</f>
        <v>0</v>
      </c>
    </row>
    <row r="24" spans="1:19" ht="13.5" thickTop="1">
      <c r="A24" s="1061">
        <f>A23+1</f>
        <v>4</v>
      </c>
      <c r="B24" s="1121" t="s">
        <v>739</v>
      </c>
      <c r="C24" s="1074">
        <v>0</v>
      </c>
      <c r="D24" s="1074">
        <v>0</v>
      </c>
      <c r="E24" s="1074">
        <v>0</v>
      </c>
      <c r="F24" s="1074">
        <v>0</v>
      </c>
      <c r="G24" s="1074">
        <v>0</v>
      </c>
      <c r="H24" s="1075"/>
      <c r="I24" s="1074">
        <v>0</v>
      </c>
      <c r="J24" s="1074">
        <v>0</v>
      </c>
      <c r="K24" s="1074">
        <v>0</v>
      </c>
      <c r="L24" s="1075"/>
      <c r="M24" s="1074">
        <v>0</v>
      </c>
      <c r="N24" s="1074">
        <v>0</v>
      </c>
      <c r="O24" s="1074">
        <v>0</v>
      </c>
      <c r="P24" s="1075"/>
      <c r="Q24" s="1074">
        <v>0</v>
      </c>
      <c r="R24" s="1074">
        <v>0</v>
      </c>
      <c r="S24" s="1074">
        <v>0</v>
      </c>
    </row>
    <row r="25" spans="1:19">
      <c r="A25" s="1061"/>
      <c r="B25" s="1041"/>
      <c r="C25" s="1051"/>
      <c r="D25" s="1051"/>
      <c r="E25" s="1051"/>
      <c r="F25" s="1051"/>
      <c r="G25" s="1051"/>
      <c r="H25" s="1051"/>
      <c r="I25" s="1051"/>
      <c r="J25" s="1051"/>
      <c r="K25" s="1051"/>
      <c r="L25" s="1051"/>
      <c r="M25" s="1051"/>
      <c r="N25" s="1051"/>
      <c r="O25" s="1051"/>
      <c r="P25" s="1051"/>
      <c r="Q25" s="1051"/>
      <c r="R25" s="1051"/>
      <c r="S25" s="1051"/>
    </row>
    <row r="26" spans="1:19">
      <c r="A26" s="1061">
        <v>5</v>
      </c>
      <c r="B26" s="1042" t="s">
        <v>722</v>
      </c>
      <c r="C26" s="1051"/>
      <c r="D26" s="1051"/>
      <c r="E26" s="1051"/>
      <c r="F26" s="1051"/>
      <c r="G26" s="1051"/>
      <c r="H26" s="1051"/>
      <c r="I26" s="1051"/>
      <c r="J26" s="1051"/>
      <c r="K26" s="1051"/>
      <c r="L26" s="1051"/>
      <c r="M26" s="1051"/>
      <c r="N26" s="1051"/>
      <c r="O26" s="1051"/>
      <c r="P26" s="1051"/>
      <c r="Q26" s="1051"/>
      <c r="R26" s="1051"/>
      <c r="S26" s="1051"/>
    </row>
    <row r="27" spans="1:19">
      <c r="A27" s="1078"/>
      <c r="B27" s="1041"/>
      <c r="C27" s="1051"/>
      <c r="D27" s="1051"/>
      <c r="E27" s="1051"/>
      <c r="F27" s="1051"/>
      <c r="G27" s="1051"/>
      <c r="H27" s="1051"/>
      <c r="I27" s="1051"/>
      <c r="J27" s="1051"/>
      <c r="K27" s="1051"/>
      <c r="L27" s="1051"/>
      <c r="M27" s="1051"/>
      <c r="N27" s="1051"/>
      <c r="O27" s="1051"/>
      <c r="P27" s="1051"/>
      <c r="Q27" s="1051"/>
      <c r="R27" s="1051"/>
      <c r="S27" s="1051"/>
    </row>
    <row r="28" spans="1:19">
      <c r="A28" s="1081">
        <v>5.01</v>
      </c>
      <c r="B28" s="843" t="s">
        <v>985</v>
      </c>
      <c r="C28" s="1051">
        <f t="shared" ref="C28:C62" si="1">SUM(M28:O28)</f>
        <v>0</v>
      </c>
      <c r="D28" s="1051">
        <f t="shared" ref="D28:D62" si="2">SUM(Q28:S28)</f>
        <v>0</v>
      </c>
      <c r="E28" s="1051"/>
      <c r="F28" s="1051"/>
      <c r="G28" s="1051">
        <f t="shared" ref="G28:G51" si="3">ROUND(SUM(C28:F28)/2,0)</f>
        <v>0</v>
      </c>
      <c r="H28" s="1051"/>
      <c r="I28" s="1051">
        <f t="shared" ref="I28:K65" si="4">(M28+Q28)/2</f>
        <v>0</v>
      </c>
      <c r="J28" s="1051">
        <f t="shared" si="4"/>
        <v>0</v>
      </c>
      <c r="K28" s="1051">
        <f t="shared" si="4"/>
        <v>0</v>
      </c>
      <c r="L28" s="1051"/>
      <c r="M28" s="843">
        <v>0</v>
      </c>
      <c r="N28" s="843">
        <v>0</v>
      </c>
      <c r="O28" s="843">
        <v>0</v>
      </c>
      <c r="P28" s="1051"/>
      <c r="Q28" s="843">
        <v>0</v>
      </c>
      <c r="R28" s="843">
        <v>0</v>
      </c>
      <c r="S28" s="843">
        <v>0</v>
      </c>
    </row>
    <row r="29" spans="1:19">
      <c r="A29" s="1081">
        <f>A28+0.01</f>
        <v>5.0199999999999996</v>
      </c>
      <c r="B29" s="843" t="s">
        <v>986</v>
      </c>
      <c r="C29" s="1051">
        <f>SUM(M29:O29)</f>
        <v>466491145.36999995</v>
      </c>
      <c r="D29" s="1051">
        <f>SUM(Q29:S29)</f>
        <v>459969857.03000003</v>
      </c>
      <c r="E29" s="1051"/>
      <c r="F29" s="1051"/>
      <c r="G29" s="1051">
        <f t="shared" si="3"/>
        <v>463230501</v>
      </c>
      <c r="H29" s="1051"/>
      <c r="I29" s="1051">
        <f t="shared" si="4"/>
        <v>0</v>
      </c>
      <c r="J29" s="1051">
        <f t="shared" si="4"/>
        <v>182015463.60499999</v>
      </c>
      <c r="K29" s="1051">
        <f t="shared" si="4"/>
        <v>281215037.59500003</v>
      </c>
      <c r="L29" s="1051"/>
      <c r="M29" s="843">
        <v>0</v>
      </c>
      <c r="N29" s="843">
        <v>177001514</v>
      </c>
      <c r="O29" s="843">
        <v>289489631.36999995</v>
      </c>
      <c r="P29" s="1051"/>
      <c r="Q29" s="843">
        <v>0</v>
      </c>
      <c r="R29" s="843">
        <v>187029413.20999998</v>
      </c>
      <c r="S29" s="843">
        <v>272940443.82000005</v>
      </c>
    </row>
    <row r="30" spans="1:19">
      <c r="A30" s="1081">
        <f t="shared" ref="A30:A69" si="5">A29+0.01</f>
        <v>5.0299999999999994</v>
      </c>
      <c r="B30" s="843" t="s">
        <v>987</v>
      </c>
      <c r="C30" s="1051">
        <f t="shared" si="1"/>
        <v>41008.769999999997</v>
      </c>
      <c r="D30" s="1051">
        <f t="shared" si="2"/>
        <v>-12188.01</v>
      </c>
      <c r="E30" s="1051"/>
      <c r="F30" s="1051"/>
      <c r="G30" s="1051">
        <f t="shared" si="3"/>
        <v>14410</v>
      </c>
      <c r="H30" s="1051"/>
      <c r="I30" s="1051">
        <f t="shared" si="4"/>
        <v>0</v>
      </c>
      <c r="J30" s="1051">
        <f t="shared" si="4"/>
        <v>2610.6149999999989</v>
      </c>
      <c r="K30" s="1051">
        <f t="shared" si="4"/>
        <v>11799.764999999999</v>
      </c>
      <c r="L30" s="1051"/>
      <c r="M30" s="1108">
        <v>0</v>
      </c>
      <c r="N30" s="1108">
        <v>21149.1</v>
      </c>
      <c r="O30" s="843">
        <v>19859.669999999998</v>
      </c>
      <c r="P30" s="1051"/>
      <c r="Q30" s="843">
        <v>0</v>
      </c>
      <c r="R30" s="843">
        <v>-15927.87</v>
      </c>
      <c r="S30" s="843">
        <v>3739.86</v>
      </c>
    </row>
    <row r="31" spans="1:19">
      <c r="A31" s="1081">
        <f t="shared" si="5"/>
        <v>5.0399999999999991</v>
      </c>
      <c r="B31" s="843" t="s">
        <v>988</v>
      </c>
      <c r="C31" s="1051">
        <f>SUM(M31:O31)</f>
        <v>75103.33</v>
      </c>
      <c r="D31" s="1051">
        <f>SUM(Q31:S31)</f>
        <v>35884.78</v>
      </c>
      <c r="E31" s="1051"/>
      <c r="F31" s="1051"/>
      <c r="G31" s="1051">
        <f t="shared" si="3"/>
        <v>55494</v>
      </c>
      <c r="H31" s="1051"/>
      <c r="I31" s="1051">
        <f t="shared" si="4"/>
        <v>0</v>
      </c>
      <c r="J31" s="1051">
        <f t="shared" si="4"/>
        <v>0</v>
      </c>
      <c r="K31" s="1051">
        <f t="shared" si="4"/>
        <v>55494.055</v>
      </c>
      <c r="L31" s="1051"/>
      <c r="M31" s="843">
        <v>0</v>
      </c>
      <c r="N31" s="843">
        <v>0</v>
      </c>
      <c r="O31" s="843">
        <v>75103.33</v>
      </c>
      <c r="P31" s="1051"/>
      <c r="Q31" s="843">
        <v>0</v>
      </c>
      <c r="R31" s="843">
        <v>0</v>
      </c>
      <c r="S31" s="843">
        <v>35884.78</v>
      </c>
    </row>
    <row r="32" spans="1:19">
      <c r="A32" s="1081">
        <f t="shared" si="5"/>
        <v>5.0499999999999989</v>
      </c>
      <c r="B32" s="843" t="s">
        <v>989</v>
      </c>
      <c r="C32" s="1051">
        <f t="shared" si="1"/>
        <v>-144599.59</v>
      </c>
      <c r="D32" s="1051">
        <f t="shared" si="2"/>
        <v>-0.1</v>
      </c>
      <c r="E32" s="1051"/>
      <c r="F32" s="1051"/>
      <c r="G32" s="1051">
        <f t="shared" si="3"/>
        <v>-72300</v>
      </c>
      <c r="H32" s="1051"/>
      <c r="I32" s="1051">
        <f t="shared" si="4"/>
        <v>0</v>
      </c>
      <c r="J32" s="1051">
        <f t="shared" si="4"/>
        <v>-72299.845000000001</v>
      </c>
      <c r="K32" s="1051">
        <f t="shared" si="4"/>
        <v>0</v>
      </c>
      <c r="L32" s="1051"/>
      <c r="M32" s="843">
        <v>0</v>
      </c>
      <c r="N32" s="843">
        <v>-144599.59</v>
      </c>
      <c r="O32" s="843">
        <v>0</v>
      </c>
      <c r="P32" s="1051"/>
      <c r="Q32" s="843">
        <v>0</v>
      </c>
      <c r="R32" s="843">
        <v>-0.1</v>
      </c>
      <c r="S32" s="843">
        <v>0</v>
      </c>
    </row>
    <row r="33" spans="1:19">
      <c r="A33" s="1081">
        <f t="shared" si="5"/>
        <v>5.0599999999999987</v>
      </c>
      <c r="B33" s="843" t="s">
        <v>990</v>
      </c>
      <c r="C33" s="1051">
        <f t="shared" ref="C33:C40" si="6">SUM(M33:O33)</f>
        <v>359989.35</v>
      </c>
      <c r="D33" s="1051">
        <f t="shared" ref="D33:D40" si="7">SUM(Q33:S33)</f>
        <v>359989.35</v>
      </c>
      <c r="E33" s="1051"/>
      <c r="F33" s="1051"/>
      <c r="G33" s="1051">
        <f t="shared" si="3"/>
        <v>359989</v>
      </c>
      <c r="H33" s="1051"/>
      <c r="I33" s="1051">
        <f t="shared" si="4"/>
        <v>0</v>
      </c>
      <c r="J33" s="1051">
        <f t="shared" si="4"/>
        <v>78465.87</v>
      </c>
      <c r="K33" s="1051">
        <f t="shared" si="4"/>
        <v>281523.48</v>
      </c>
      <c r="L33" s="1051"/>
      <c r="M33" s="843">
        <v>0</v>
      </c>
      <c r="N33" s="843">
        <v>78465.87</v>
      </c>
      <c r="O33" s="843">
        <v>281523.48</v>
      </c>
      <c r="P33" s="1051"/>
      <c r="Q33" s="843">
        <v>0</v>
      </c>
      <c r="R33" s="843">
        <v>78465.87</v>
      </c>
      <c r="S33" s="843">
        <v>281523.48</v>
      </c>
    </row>
    <row r="34" spans="1:19">
      <c r="A34" s="1081">
        <f t="shared" si="5"/>
        <v>5.0699999999999985</v>
      </c>
      <c r="B34" s="843" t="s">
        <v>991</v>
      </c>
      <c r="C34" s="1051">
        <f t="shared" si="6"/>
        <v>0</v>
      </c>
      <c r="D34" s="1051">
        <f t="shared" si="7"/>
        <v>0</v>
      </c>
      <c r="E34" s="1051"/>
      <c r="F34" s="1051"/>
      <c r="G34" s="1051">
        <f t="shared" si="3"/>
        <v>0</v>
      </c>
      <c r="H34" s="1051"/>
      <c r="I34" s="1051">
        <f t="shared" si="4"/>
        <v>0</v>
      </c>
      <c r="J34" s="1051">
        <f t="shared" si="4"/>
        <v>0</v>
      </c>
      <c r="K34" s="1051">
        <f t="shared" si="4"/>
        <v>0</v>
      </c>
      <c r="L34" s="1051"/>
      <c r="M34" s="1108">
        <v>0</v>
      </c>
      <c r="N34" s="1108">
        <v>0</v>
      </c>
      <c r="O34" s="843">
        <v>0</v>
      </c>
      <c r="P34" s="1051"/>
      <c r="Q34" s="843">
        <v>0</v>
      </c>
      <c r="R34" s="843">
        <v>0</v>
      </c>
      <c r="S34" s="843">
        <v>0</v>
      </c>
    </row>
    <row r="35" spans="1:19">
      <c r="A35" s="1081">
        <f t="shared" si="5"/>
        <v>5.0799999999999983</v>
      </c>
      <c r="B35" s="843" t="s">
        <v>992</v>
      </c>
      <c r="C35" s="1056">
        <f t="shared" si="6"/>
        <v>476586.10000000003</v>
      </c>
      <c r="D35" s="1056">
        <f t="shared" si="7"/>
        <v>448610.21</v>
      </c>
      <c r="E35" s="1056"/>
      <c r="F35" s="1056"/>
      <c r="G35" s="1056">
        <f t="shared" si="3"/>
        <v>462598</v>
      </c>
      <c r="H35" s="1056"/>
      <c r="I35" s="1056">
        <f t="shared" si="4"/>
        <v>0</v>
      </c>
      <c r="J35" s="1056">
        <f t="shared" si="4"/>
        <v>6966.15</v>
      </c>
      <c r="K35" s="1056">
        <f t="shared" si="4"/>
        <v>455632.005</v>
      </c>
      <c r="L35" s="1056"/>
      <c r="M35" s="843">
        <v>0</v>
      </c>
      <c r="N35" s="843">
        <v>6966.15</v>
      </c>
      <c r="O35" s="843">
        <v>469619.95</v>
      </c>
      <c r="P35" s="1056"/>
      <c r="Q35" s="843">
        <v>0</v>
      </c>
      <c r="R35" s="843">
        <v>6966.15</v>
      </c>
      <c r="S35" s="843">
        <v>441644.06</v>
      </c>
    </row>
    <row r="36" spans="1:19">
      <c r="A36" s="1081">
        <f t="shared" si="5"/>
        <v>5.0899999999999981</v>
      </c>
      <c r="B36" s="843" t="s">
        <v>1165</v>
      </c>
      <c r="C36" s="1051">
        <f>SUM(M36:O36)</f>
        <v>0</v>
      </c>
      <c r="D36" s="1051">
        <f t="shared" ref="D36" si="8">SUM(Q36:S36)</f>
        <v>0</v>
      </c>
      <c r="E36" s="1051"/>
      <c r="F36" s="1051"/>
      <c r="G36" s="1051">
        <f>ROUND(SUM(C36:F36)/2,0)</f>
        <v>0</v>
      </c>
      <c r="H36" s="1051"/>
      <c r="I36" s="1051">
        <f t="shared" ref="I36" si="9">(M36+Q36)/2</f>
        <v>0</v>
      </c>
      <c r="J36" s="1051">
        <f t="shared" ref="J36" si="10">(N36+R36)/2</f>
        <v>0</v>
      </c>
      <c r="K36" s="1051">
        <f t="shared" ref="K36" si="11">(O36+S36)/2</f>
        <v>0</v>
      </c>
      <c r="L36" s="1051"/>
      <c r="M36" s="843"/>
      <c r="N36" s="843">
        <v>0</v>
      </c>
      <c r="O36" s="843"/>
      <c r="P36" s="1051"/>
      <c r="Q36" s="843">
        <v>0</v>
      </c>
      <c r="R36" s="843">
        <v>0</v>
      </c>
      <c r="S36" s="843">
        <v>0</v>
      </c>
    </row>
    <row r="37" spans="1:19">
      <c r="A37" s="1081">
        <f t="shared" si="5"/>
        <v>5.0999999999999979</v>
      </c>
      <c r="B37" s="843" t="s">
        <v>993</v>
      </c>
      <c r="C37" s="1051">
        <f>SUM(M37:O37)</f>
        <v>0</v>
      </c>
      <c r="D37" s="1051">
        <f t="shared" si="7"/>
        <v>0</v>
      </c>
      <c r="E37" s="1051"/>
      <c r="F37" s="1051"/>
      <c r="G37" s="1051">
        <f>ROUND(SUM(C37:F37)/2,0)</f>
        <v>0</v>
      </c>
      <c r="H37" s="1051"/>
      <c r="I37" s="1051">
        <f t="shared" si="4"/>
        <v>0</v>
      </c>
      <c r="J37" s="1051">
        <f t="shared" si="4"/>
        <v>0</v>
      </c>
      <c r="K37" s="1051">
        <f t="shared" si="4"/>
        <v>0</v>
      </c>
      <c r="L37" s="1051"/>
      <c r="M37" s="843">
        <v>0</v>
      </c>
      <c r="N37" s="843">
        <v>0</v>
      </c>
      <c r="O37" s="843">
        <v>0</v>
      </c>
      <c r="P37" s="1051"/>
      <c r="Q37" s="843">
        <v>0</v>
      </c>
      <c r="R37" s="843">
        <v>0</v>
      </c>
      <c r="S37" s="843">
        <v>0</v>
      </c>
    </row>
    <row r="38" spans="1:19">
      <c r="A38" s="1081">
        <f t="shared" si="5"/>
        <v>5.1099999999999977</v>
      </c>
      <c r="B38" s="843" t="s">
        <v>994</v>
      </c>
      <c r="C38" s="1051">
        <f t="shared" si="6"/>
        <v>48897845.120000005</v>
      </c>
      <c r="D38" s="1051">
        <f t="shared" si="7"/>
        <v>45738359.560000002</v>
      </c>
      <c r="E38" s="1051"/>
      <c r="F38" s="1051"/>
      <c r="G38" s="1051">
        <f t="shared" si="3"/>
        <v>47318102</v>
      </c>
      <c r="H38" s="1051"/>
      <c r="I38" s="1051">
        <f t="shared" si="4"/>
        <v>0</v>
      </c>
      <c r="J38" s="1051">
        <f t="shared" si="4"/>
        <v>9092181.754999999</v>
      </c>
      <c r="K38" s="1051">
        <f t="shared" si="4"/>
        <v>38225920.585000001</v>
      </c>
      <c r="L38" s="1051"/>
      <c r="M38" s="843">
        <v>0</v>
      </c>
      <c r="N38" s="843">
        <v>9249338.129999999</v>
      </c>
      <c r="O38" s="843">
        <v>39648506.990000002</v>
      </c>
      <c r="P38" s="1051"/>
      <c r="Q38" s="843">
        <v>0</v>
      </c>
      <c r="R38" s="843">
        <v>8935025.379999999</v>
      </c>
      <c r="S38" s="843">
        <v>36803334.18</v>
      </c>
    </row>
    <row r="39" spans="1:19">
      <c r="A39" s="1081">
        <f t="shared" si="5"/>
        <v>5.1199999999999974</v>
      </c>
      <c r="B39" s="843" t="s">
        <v>995</v>
      </c>
      <c r="C39" s="1051">
        <f t="shared" si="6"/>
        <v>0</v>
      </c>
      <c r="D39" s="1051">
        <f t="shared" si="7"/>
        <v>0</v>
      </c>
      <c r="E39" s="1051"/>
      <c r="F39" s="1051"/>
      <c r="G39" s="1051">
        <f t="shared" si="3"/>
        <v>0</v>
      </c>
      <c r="H39" s="1051"/>
      <c r="I39" s="1051">
        <f t="shared" si="4"/>
        <v>0</v>
      </c>
      <c r="J39" s="1051">
        <f t="shared" si="4"/>
        <v>0</v>
      </c>
      <c r="K39" s="1051">
        <f t="shared" si="4"/>
        <v>0</v>
      </c>
      <c r="L39" s="1051"/>
      <c r="M39" s="843">
        <v>0</v>
      </c>
      <c r="N39" s="843">
        <v>0</v>
      </c>
      <c r="O39" s="843">
        <v>0</v>
      </c>
      <c r="P39" s="1051"/>
      <c r="Q39" s="843">
        <v>0</v>
      </c>
      <c r="R39" s="843">
        <v>0</v>
      </c>
      <c r="S39" s="843">
        <v>0</v>
      </c>
    </row>
    <row r="40" spans="1:19">
      <c r="A40" s="1081">
        <f t="shared" si="5"/>
        <v>5.1299999999999972</v>
      </c>
      <c r="B40" s="843" t="s">
        <v>996</v>
      </c>
      <c r="C40" s="1051">
        <f t="shared" si="6"/>
        <v>0</v>
      </c>
      <c r="D40" s="1051">
        <f t="shared" si="7"/>
        <v>0</v>
      </c>
      <c r="E40" s="1051"/>
      <c r="F40" s="1051"/>
      <c r="G40" s="1051">
        <f t="shared" si="3"/>
        <v>0</v>
      </c>
      <c r="H40" s="1051"/>
      <c r="I40" s="1051">
        <f t="shared" si="4"/>
        <v>0</v>
      </c>
      <c r="J40" s="1051">
        <f t="shared" si="4"/>
        <v>0</v>
      </c>
      <c r="K40" s="1051">
        <f t="shared" si="4"/>
        <v>0</v>
      </c>
      <c r="L40" s="1051"/>
      <c r="M40" s="843">
        <v>0</v>
      </c>
      <c r="N40" s="843">
        <v>0</v>
      </c>
      <c r="O40" s="843">
        <v>0</v>
      </c>
      <c r="P40" s="1051"/>
      <c r="Q40" s="843">
        <v>0</v>
      </c>
      <c r="R40" s="843">
        <v>0</v>
      </c>
      <c r="S40" s="843">
        <v>0</v>
      </c>
    </row>
    <row r="41" spans="1:19">
      <c r="A41" s="1081">
        <f t="shared" si="5"/>
        <v>5.139999999999997</v>
      </c>
      <c r="B41" s="843" t="s">
        <v>997</v>
      </c>
      <c r="C41" s="1051">
        <f t="shared" si="1"/>
        <v>9307746.0500000007</v>
      </c>
      <c r="D41" s="1051">
        <f t="shared" si="2"/>
        <v>9822572.4299999997</v>
      </c>
      <c r="E41" s="1051"/>
      <c r="F41" s="1051"/>
      <c r="G41" s="1051">
        <f t="shared" si="3"/>
        <v>9565159</v>
      </c>
      <c r="H41" s="1051"/>
      <c r="I41" s="1051">
        <f t="shared" si="4"/>
        <v>0</v>
      </c>
      <c r="J41" s="1051">
        <f t="shared" si="4"/>
        <v>4479905.3949999996</v>
      </c>
      <c r="K41" s="1051">
        <f t="shared" si="4"/>
        <v>5085253.8450000007</v>
      </c>
      <c r="L41" s="1051"/>
      <c r="M41" s="843">
        <v>0</v>
      </c>
      <c r="N41" s="843">
        <v>4343128.5600000005</v>
      </c>
      <c r="O41" s="843">
        <v>4964617.49</v>
      </c>
      <c r="P41" s="1051"/>
      <c r="Q41" s="843">
        <v>0</v>
      </c>
      <c r="R41" s="843">
        <v>4616682.2299999995</v>
      </c>
      <c r="S41" s="843">
        <v>5205890.2</v>
      </c>
    </row>
    <row r="42" spans="1:19">
      <c r="A42" s="1081">
        <f t="shared" si="5"/>
        <v>5.1499999999999968</v>
      </c>
      <c r="B42" s="843" t="s">
        <v>998</v>
      </c>
      <c r="C42" s="1051">
        <f t="shared" si="1"/>
        <v>1747958.9200000002</v>
      </c>
      <c r="D42" s="1051">
        <f t="shared" si="2"/>
        <v>1614549.87</v>
      </c>
      <c r="E42" s="1051"/>
      <c r="F42" s="1051"/>
      <c r="G42" s="1051">
        <f t="shared" si="3"/>
        <v>1681254</v>
      </c>
      <c r="H42" s="1051"/>
      <c r="I42" s="1051">
        <f t="shared" si="4"/>
        <v>0</v>
      </c>
      <c r="J42" s="1051">
        <f t="shared" si="4"/>
        <v>780015.15500000003</v>
      </c>
      <c r="K42" s="1051">
        <f t="shared" si="4"/>
        <v>901239.24</v>
      </c>
      <c r="L42" s="1051"/>
      <c r="M42" s="843">
        <v>0</v>
      </c>
      <c r="N42" s="843">
        <v>807097.1100000001</v>
      </c>
      <c r="O42" s="843">
        <v>940861.81</v>
      </c>
      <c r="P42" s="1051"/>
      <c r="Q42" s="843">
        <v>0</v>
      </c>
      <c r="R42" s="843">
        <v>752933.20000000007</v>
      </c>
      <c r="S42" s="843">
        <v>861616.66999999993</v>
      </c>
    </row>
    <row r="43" spans="1:19">
      <c r="A43" s="1081">
        <f t="shared" si="5"/>
        <v>5.1599999999999966</v>
      </c>
      <c r="B43" s="843" t="s">
        <v>999</v>
      </c>
      <c r="C43" s="1051">
        <f t="shared" si="1"/>
        <v>1591.2</v>
      </c>
      <c r="D43" s="1051">
        <f t="shared" si="2"/>
        <v>1591.2</v>
      </c>
      <c r="E43" s="1051"/>
      <c r="F43" s="1051"/>
      <c r="G43" s="1051">
        <f t="shared" si="3"/>
        <v>1591</v>
      </c>
      <c r="H43" s="1051"/>
      <c r="I43" s="1051">
        <f t="shared" si="4"/>
        <v>0</v>
      </c>
      <c r="J43" s="1051">
        <f t="shared" si="4"/>
        <v>0</v>
      </c>
      <c r="K43" s="1051">
        <f t="shared" si="4"/>
        <v>1591.2</v>
      </c>
      <c r="L43" s="1051"/>
      <c r="M43" s="843">
        <v>0</v>
      </c>
      <c r="N43" s="843">
        <v>0</v>
      </c>
      <c r="O43" s="843">
        <v>1591.2</v>
      </c>
      <c r="P43" s="1051"/>
      <c r="Q43" s="843">
        <v>0</v>
      </c>
      <c r="R43" s="843">
        <v>0</v>
      </c>
      <c r="S43" s="843">
        <v>1591.2</v>
      </c>
    </row>
    <row r="44" spans="1:19">
      <c r="A44" s="1081">
        <f t="shared" si="5"/>
        <v>5.1699999999999964</v>
      </c>
      <c r="B44" s="843" t="s">
        <v>1000</v>
      </c>
      <c r="C44" s="1051">
        <f t="shared" si="1"/>
        <v>0</v>
      </c>
      <c r="D44" s="1051">
        <f t="shared" si="2"/>
        <v>0</v>
      </c>
      <c r="E44" s="1051"/>
      <c r="F44" s="1051"/>
      <c r="G44" s="1051">
        <f t="shared" si="3"/>
        <v>0</v>
      </c>
      <c r="H44" s="1051"/>
      <c r="I44" s="1051">
        <f t="shared" si="4"/>
        <v>0</v>
      </c>
      <c r="J44" s="1051">
        <f t="shared" si="4"/>
        <v>0</v>
      </c>
      <c r="K44" s="1051">
        <f t="shared" si="4"/>
        <v>0</v>
      </c>
      <c r="L44" s="1051"/>
      <c r="M44" s="843">
        <v>0</v>
      </c>
      <c r="N44" s="843">
        <v>0</v>
      </c>
      <c r="O44" s="843">
        <v>0</v>
      </c>
      <c r="P44" s="1051"/>
      <c r="Q44" s="843">
        <v>0</v>
      </c>
      <c r="R44" s="843">
        <v>0</v>
      </c>
      <c r="S44" s="843">
        <v>0</v>
      </c>
    </row>
    <row r="45" spans="1:19">
      <c r="A45" s="1081">
        <f t="shared" si="5"/>
        <v>5.1799999999999962</v>
      </c>
      <c r="B45" s="843" t="s">
        <v>1001</v>
      </c>
      <c r="C45" s="1051">
        <f t="shared" si="1"/>
        <v>0</v>
      </c>
      <c r="D45" s="1051">
        <f t="shared" si="2"/>
        <v>0</v>
      </c>
      <c r="E45" s="1051"/>
      <c r="F45" s="1051"/>
      <c r="G45" s="1051">
        <f t="shared" si="3"/>
        <v>0</v>
      </c>
      <c r="H45" s="1051"/>
      <c r="I45" s="1051">
        <f t="shared" si="4"/>
        <v>0</v>
      </c>
      <c r="J45" s="1051">
        <f t="shared" si="4"/>
        <v>0</v>
      </c>
      <c r="K45" s="1051">
        <f t="shared" si="4"/>
        <v>0</v>
      </c>
      <c r="L45" s="1051"/>
      <c r="M45" s="843">
        <v>0</v>
      </c>
      <c r="N45" s="843">
        <v>0</v>
      </c>
      <c r="O45" s="843">
        <v>0</v>
      </c>
      <c r="P45" s="1051"/>
      <c r="Q45" s="843">
        <v>0</v>
      </c>
      <c r="R45" s="843">
        <v>0</v>
      </c>
      <c r="S45" s="843">
        <v>0</v>
      </c>
    </row>
    <row r="46" spans="1:19">
      <c r="A46" s="1081">
        <f t="shared" si="5"/>
        <v>5.1899999999999959</v>
      </c>
      <c r="B46" s="843" t="s">
        <v>1002</v>
      </c>
      <c r="C46" s="1051">
        <f t="shared" si="1"/>
        <v>2280.7399999999998</v>
      </c>
      <c r="D46" s="1051">
        <f t="shared" si="2"/>
        <v>2280.7399999999998</v>
      </c>
      <c r="E46" s="1051"/>
      <c r="F46" s="1051"/>
      <c r="G46" s="1051">
        <f t="shared" si="3"/>
        <v>2281</v>
      </c>
      <c r="H46" s="1051"/>
      <c r="I46" s="1051">
        <f t="shared" si="4"/>
        <v>0</v>
      </c>
      <c r="J46" s="1051">
        <f t="shared" si="4"/>
        <v>653.75</v>
      </c>
      <c r="K46" s="1051">
        <f t="shared" si="4"/>
        <v>1626.99</v>
      </c>
      <c r="L46" s="1051"/>
      <c r="M46" s="843">
        <v>0</v>
      </c>
      <c r="N46" s="843">
        <v>653.75</v>
      </c>
      <c r="O46" s="843">
        <v>1626.99</v>
      </c>
      <c r="P46" s="1051"/>
      <c r="Q46" s="843">
        <v>0</v>
      </c>
      <c r="R46" s="843">
        <v>653.75</v>
      </c>
      <c r="S46" s="843">
        <v>1626.99</v>
      </c>
    </row>
    <row r="47" spans="1:19">
      <c r="A47" s="1081">
        <f t="shared" si="5"/>
        <v>5.1999999999999957</v>
      </c>
      <c r="B47" s="843" t="s">
        <v>1003</v>
      </c>
      <c r="C47" s="1051">
        <f t="shared" si="1"/>
        <v>0</v>
      </c>
      <c r="D47" s="1051">
        <f t="shared" si="2"/>
        <v>0</v>
      </c>
      <c r="E47" s="1051"/>
      <c r="F47" s="1051"/>
      <c r="G47" s="1051">
        <f t="shared" si="3"/>
        <v>0</v>
      </c>
      <c r="H47" s="1051"/>
      <c r="I47" s="1051">
        <f t="shared" si="4"/>
        <v>0</v>
      </c>
      <c r="J47" s="1051">
        <f t="shared" si="4"/>
        <v>0</v>
      </c>
      <c r="K47" s="1051">
        <f t="shared" si="4"/>
        <v>0</v>
      </c>
      <c r="L47" s="1051"/>
      <c r="M47" s="843">
        <v>0</v>
      </c>
      <c r="N47" s="843">
        <v>0</v>
      </c>
      <c r="O47" s="843">
        <v>0</v>
      </c>
      <c r="P47" s="1051"/>
      <c r="Q47" s="843">
        <v>0</v>
      </c>
      <c r="R47" s="843">
        <v>0</v>
      </c>
      <c r="S47" s="843">
        <v>0</v>
      </c>
    </row>
    <row r="48" spans="1:19">
      <c r="A48" s="1081">
        <f t="shared" si="5"/>
        <v>5.2099999999999955</v>
      </c>
      <c r="B48" s="843" t="s">
        <v>1004</v>
      </c>
      <c r="C48" s="1051">
        <f t="shared" si="1"/>
        <v>11938906.75</v>
      </c>
      <c r="D48" s="1051">
        <f t="shared" si="2"/>
        <v>10753897.779999999</v>
      </c>
      <c r="E48" s="1051"/>
      <c r="F48" s="1051"/>
      <c r="G48" s="1051">
        <f t="shared" si="3"/>
        <v>11346402</v>
      </c>
      <c r="H48" s="1051"/>
      <c r="I48" s="1051">
        <f t="shared" si="4"/>
        <v>0</v>
      </c>
      <c r="J48" s="1051">
        <f t="shared" si="4"/>
        <v>2172365.4649999989</v>
      </c>
      <c r="K48" s="1051">
        <f t="shared" si="4"/>
        <v>9174036.8000000007</v>
      </c>
      <c r="L48" s="1051"/>
      <c r="M48" s="843">
        <v>0</v>
      </c>
      <c r="N48" s="843">
        <v>2289292.1499999985</v>
      </c>
      <c r="O48" s="843">
        <v>9649614.6000000015</v>
      </c>
      <c r="P48" s="1051"/>
      <c r="Q48" s="843">
        <v>0</v>
      </c>
      <c r="R48" s="843">
        <v>2055438.7799999993</v>
      </c>
      <c r="S48" s="843">
        <v>8698459</v>
      </c>
    </row>
    <row r="49" spans="1:19">
      <c r="A49" s="1081">
        <f t="shared" si="5"/>
        <v>5.2199999999999953</v>
      </c>
      <c r="B49" s="843" t="s">
        <v>1005</v>
      </c>
      <c r="C49" s="1051">
        <f t="shared" si="1"/>
        <v>90466313.909999996</v>
      </c>
      <c r="D49" s="1051">
        <f t="shared" si="2"/>
        <v>128201423.91</v>
      </c>
      <c r="E49" s="1051"/>
      <c r="F49" s="1051"/>
      <c r="G49" s="1051">
        <f t="shared" si="3"/>
        <v>109333869</v>
      </c>
      <c r="H49" s="1051"/>
      <c r="I49" s="1051">
        <f t="shared" si="4"/>
        <v>0</v>
      </c>
      <c r="J49" s="1051">
        <f t="shared" si="4"/>
        <v>28839054.720000003</v>
      </c>
      <c r="K49" s="1051">
        <f t="shared" si="4"/>
        <v>80494814.189999998</v>
      </c>
      <c r="L49" s="1051"/>
      <c r="M49" s="843">
        <v>0</v>
      </c>
      <c r="N49" s="843">
        <v>19065795.420000002</v>
      </c>
      <c r="O49" s="843">
        <v>71400518.489999995</v>
      </c>
      <c r="P49" s="1051"/>
      <c r="Q49" s="843">
        <v>0</v>
      </c>
      <c r="R49" s="843">
        <v>38612314.020000003</v>
      </c>
      <c r="S49" s="843">
        <v>89589109.890000001</v>
      </c>
    </row>
    <row r="50" spans="1:19">
      <c r="A50" s="1081">
        <f t="shared" si="5"/>
        <v>5.2299999999999951</v>
      </c>
      <c r="B50" s="843" t="s">
        <v>1006</v>
      </c>
      <c r="C50" s="1051">
        <f t="shared" ref="C50:C56" si="12">SUM(M50:O50)</f>
        <v>142137561.50999999</v>
      </c>
      <c r="D50" s="1051">
        <f t="shared" ref="D50:D56" si="13">SUM(Q50:S50)</f>
        <v>142137561.50999999</v>
      </c>
      <c r="E50" s="1051"/>
      <c r="F50" s="1051"/>
      <c r="G50" s="1051">
        <f t="shared" si="3"/>
        <v>142137562</v>
      </c>
      <c r="H50" s="1051"/>
      <c r="I50" s="1051">
        <f t="shared" si="4"/>
        <v>0</v>
      </c>
      <c r="J50" s="1051">
        <f t="shared" si="4"/>
        <v>37971631.109999999</v>
      </c>
      <c r="K50" s="1051">
        <f t="shared" si="4"/>
        <v>104165930.40000001</v>
      </c>
      <c r="L50" s="1051"/>
      <c r="M50" s="843">
        <v>0</v>
      </c>
      <c r="N50" s="843">
        <v>37971631.109999999</v>
      </c>
      <c r="O50" s="843">
        <v>104165930.40000001</v>
      </c>
      <c r="P50" s="1051"/>
      <c r="Q50" s="843">
        <v>0</v>
      </c>
      <c r="R50" s="843">
        <v>37971631.109999999</v>
      </c>
      <c r="S50" s="843">
        <v>104165930.40000001</v>
      </c>
    </row>
    <row r="51" spans="1:19">
      <c r="A51" s="1081">
        <f t="shared" si="5"/>
        <v>5.2399999999999949</v>
      </c>
      <c r="B51" s="843" t="s">
        <v>1007</v>
      </c>
      <c r="C51" s="1051">
        <f t="shared" si="12"/>
        <v>50250425.609999999</v>
      </c>
      <c r="D51" s="1051">
        <f t="shared" si="13"/>
        <v>66963571.290000007</v>
      </c>
      <c r="E51" s="1051"/>
      <c r="F51" s="1051"/>
      <c r="G51" s="1051">
        <f t="shared" si="3"/>
        <v>58606998</v>
      </c>
      <c r="H51" s="1051"/>
      <c r="I51" s="1051">
        <f t="shared" si="4"/>
        <v>0</v>
      </c>
      <c r="J51" s="1051">
        <f t="shared" si="4"/>
        <v>17087406.420000002</v>
      </c>
      <c r="K51" s="1051">
        <f t="shared" si="4"/>
        <v>41519592.030000001</v>
      </c>
      <c r="L51" s="1051"/>
      <c r="M51" s="843">
        <v>0</v>
      </c>
      <c r="N51" s="843">
        <v>13594213.289999999</v>
      </c>
      <c r="O51" s="843">
        <v>36656212.32</v>
      </c>
      <c r="P51" s="1051"/>
      <c r="Q51" s="843">
        <v>0</v>
      </c>
      <c r="R51" s="843">
        <v>20580599.550000001</v>
      </c>
      <c r="S51" s="843">
        <v>46382971.740000002</v>
      </c>
    </row>
    <row r="52" spans="1:19">
      <c r="A52" s="1081">
        <f t="shared" si="5"/>
        <v>5.2499999999999947</v>
      </c>
      <c r="B52" s="843" t="s">
        <v>1008</v>
      </c>
      <c r="C52" s="1051">
        <f t="shared" si="12"/>
        <v>18079186.02</v>
      </c>
      <c r="D52" s="1051">
        <f t="shared" si="13"/>
        <v>18079186.02</v>
      </c>
      <c r="E52" s="1051"/>
      <c r="F52" s="1051"/>
      <c r="G52" s="1051">
        <f>ROUND(SUM(C52:F52)/2,0)</f>
        <v>18079186</v>
      </c>
      <c r="H52" s="1051"/>
      <c r="I52" s="1051">
        <f t="shared" si="4"/>
        <v>0</v>
      </c>
      <c r="J52" s="1051">
        <f t="shared" si="4"/>
        <v>0</v>
      </c>
      <c r="K52" s="1051">
        <f t="shared" si="4"/>
        <v>18079186.02</v>
      </c>
      <c r="L52" s="1051"/>
      <c r="M52" s="843">
        <v>0</v>
      </c>
      <c r="N52" s="843">
        <v>0</v>
      </c>
      <c r="O52" s="843">
        <v>18079186.02</v>
      </c>
      <c r="P52" s="1051"/>
      <c r="Q52" s="843">
        <v>0</v>
      </c>
      <c r="R52" s="843">
        <v>0</v>
      </c>
      <c r="S52" s="843">
        <v>18079186.02</v>
      </c>
    </row>
    <row r="53" spans="1:19">
      <c r="A53" s="1081">
        <f t="shared" si="5"/>
        <v>5.2599999999999945</v>
      </c>
      <c r="B53" s="843" t="s">
        <v>1009</v>
      </c>
      <c r="C53" s="1051">
        <f t="shared" si="12"/>
        <v>0</v>
      </c>
      <c r="D53" s="1051">
        <f t="shared" si="13"/>
        <v>0</v>
      </c>
      <c r="E53" s="1051"/>
      <c r="F53" s="1051"/>
      <c r="G53" s="1051">
        <f>ROUND(SUM(C53:F53)/2,0)</f>
        <v>0</v>
      </c>
      <c r="H53" s="1051"/>
      <c r="I53" s="1051">
        <f t="shared" si="4"/>
        <v>0</v>
      </c>
      <c r="J53" s="1051">
        <f t="shared" si="4"/>
        <v>0</v>
      </c>
      <c r="K53" s="1051">
        <f t="shared" si="4"/>
        <v>0</v>
      </c>
      <c r="L53" s="1051"/>
      <c r="M53" s="843">
        <v>0</v>
      </c>
      <c r="N53" s="843">
        <v>0</v>
      </c>
      <c r="O53" s="843">
        <v>0</v>
      </c>
      <c r="P53" s="1051"/>
      <c r="Q53" s="843">
        <v>0</v>
      </c>
      <c r="R53" s="843">
        <v>0</v>
      </c>
      <c r="S53" s="843">
        <v>0</v>
      </c>
    </row>
    <row r="54" spans="1:19">
      <c r="A54" s="1081">
        <f t="shared" si="5"/>
        <v>5.2699999999999942</v>
      </c>
      <c r="B54" s="843" t="s">
        <v>1010</v>
      </c>
      <c r="C54" s="1051">
        <f t="shared" si="12"/>
        <v>0</v>
      </c>
      <c r="D54" s="1051">
        <f t="shared" si="13"/>
        <v>0</v>
      </c>
      <c r="E54" s="1051"/>
      <c r="F54" s="1051"/>
      <c r="G54" s="1051">
        <f>ROUND(SUM(C54:F54)/2,0)</f>
        <v>0</v>
      </c>
      <c r="H54" s="1051"/>
      <c r="I54" s="1051">
        <f t="shared" si="4"/>
        <v>0</v>
      </c>
      <c r="J54" s="1051">
        <f t="shared" si="4"/>
        <v>0</v>
      </c>
      <c r="K54" s="1051">
        <f t="shared" si="4"/>
        <v>0</v>
      </c>
      <c r="L54" s="1051"/>
      <c r="M54" s="843">
        <v>0</v>
      </c>
      <c r="N54" s="843">
        <v>0</v>
      </c>
      <c r="O54" s="843">
        <v>0</v>
      </c>
      <c r="P54" s="1051"/>
      <c r="Q54" s="843">
        <v>0</v>
      </c>
      <c r="R54" s="843">
        <v>0</v>
      </c>
      <c r="S54" s="843">
        <v>0</v>
      </c>
    </row>
    <row r="55" spans="1:19">
      <c r="A55" s="1081">
        <f t="shared" si="5"/>
        <v>5.279999999999994</v>
      </c>
      <c r="B55" s="843" t="s">
        <v>1011</v>
      </c>
      <c r="C55" s="1051">
        <f t="shared" si="12"/>
        <v>0</v>
      </c>
      <c r="D55" s="1051">
        <f t="shared" si="13"/>
        <v>0</v>
      </c>
      <c r="E55" s="1051"/>
      <c r="F55" s="1051"/>
      <c r="G55" s="1051">
        <f>ROUND(SUM(C55:F55)/2,0)</f>
        <v>0</v>
      </c>
      <c r="H55" s="1051"/>
      <c r="I55" s="1051">
        <f t="shared" si="4"/>
        <v>0</v>
      </c>
      <c r="J55" s="1051">
        <f t="shared" si="4"/>
        <v>0</v>
      </c>
      <c r="K55" s="1051">
        <f t="shared" si="4"/>
        <v>0</v>
      </c>
      <c r="L55" s="1051"/>
      <c r="M55" s="843">
        <v>0</v>
      </c>
      <c r="N55" s="843">
        <v>0</v>
      </c>
      <c r="O55" s="843">
        <v>0</v>
      </c>
      <c r="P55" s="1051"/>
      <c r="Q55" s="843">
        <v>0</v>
      </c>
      <c r="R55" s="843">
        <v>0</v>
      </c>
      <c r="S55" s="843">
        <v>0</v>
      </c>
    </row>
    <row r="56" spans="1:19">
      <c r="A56" s="1081">
        <f t="shared" si="5"/>
        <v>5.2899999999999938</v>
      </c>
      <c r="B56" s="843" t="s">
        <v>1012</v>
      </c>
      <c r="C56" s="1051">
        <f t="shared" si="12"/>
        <v>1737570.4500000002</v>
      </c>
      <c r="D56" s="1051">
        <f t="shared" si="13"/>
        <v>1737570.4500000002</v>
      </c>
      <c r="E56" s="1051"/>
      <c r="F56" s="1051"/>
      <c r="G56" s="1051">
        <f>ROUND(SUM(C56:F56)/2,0)</f>
        <v>1737570</v>
      </c>
      <c r="H56" s="1051"/>
      <c r="I56" s="1051">
        <f t="shared" si="4"/>
        <v>0</v>
      </c>
      <c r="J56" s="1051">
        <f t="shared" si="4"/>
        <v>264703.11</v>
      </c>
      <c r="K56" s="1051">
        <f t="shared" si="4"/>
        <v>1472867.34</v>
      </c>
      <c r="L56" s="1051"/>
      <c r="M56" s="843">
        <v>0</v>
      </c>
      <c r="N56" s="843">
        <v>264703.11</v>
      </c>
      <c r="O56" s="843">
        <v>1472867.34</v>
      </c>
      <c r="P56" s="1051"/>
      <c r="Q56" s="843">
        <v>0</v>
      </c>
      <c r="R56" s="843">
        <v>264703.11</v>
      </c>
      <c r="S56" s="843">
        <v>1472867.34</v>
      </c>
    </row>
    <row r="57" spans="1:19">
      <c r="A57" s="1081">
        <f t="shared" si="5"/>
        <v>5.2999999999999936</v>
      </c>
      <c r="B57" s="843" t="s">
        <v>1013</v>
      </c>
      <c r="C57" s="1051">
        <f t="shared" si="1"/>
        <v>16012052.119999999</v>
      </c>
      <c r="D57" s="1051">
        <f t="shared" si="2"/>
        <v>16622187.950000001</v>
      </c>
      <c r="E57" s="1051"/>
      <c r="F57" s="1051"/>
      <c r="G57" s="1051">
        <f t="shared" ref="G57:G69" si="14">ROUND(SUM(C57:F57)/2,0)</f>
        <v>16317120</v>
      </c>
      <c r="H57" s="1051"/>
      <c r="I57" s="1051">
        <f t="shared" si="4"/>
        <v>0</v>
      </c>
      <c r="J57" s="1051">
        <f t="shared" si="4"/>
        <v>293893.94999999995</v>
      </c>
      <c r="K57" s="1051">
        <f t="shared" si="4"/>
        <v>16023226.085000001</v>
      </c>
      <c r="L57" s="1051"/>
      <c r="M57" s="843">
        <v>0</v>
      </c>
      <c r="N57" s="843">
        <v>309674.5199999999</v>
      </c>
      <c r="O57" s="843">
        <v>15702377.6</v>
      </c>
      <c r="P57" s="1051"/>
      <c r="Q57" s="843">
        <v>0</v>
      </c>
      <c r="R57" s="843">
        <v>278113.38</v>
      </c>
      <c r="S57" s="843">
        <v>16344074.57</v>
      </c>
    </row>
    <row r="58" spans="1:19">
      <c r="A58" s="1081">
        <f t="shared" si="5"/>
        <v>5.3099999999999934</v>
      </c>
      <c r="B58" s="843" t="s">
        <v>1164</v>
      </c>
      <c r="C58" s="1051">
        <f t="shared" ref="C58" si="15">SUM(M58:O58)</f>
        <v>19317772.030000001</v>
      </c>
      <c r="D58" s="1051">
        <f t="shared" ref="D58" si="16">SUM(Q58:S58)</f>
        <v>17043966.510000002</v>
      </c>
      <c r="E58" s="1051"/>
      <c r="F58" s="1051"/>
      <c r="G58" s="1051">
        <f t="shared" ref="G58" si="17">ROUND(SUM(C58:F58)/2,0)</f>
        <v>18180869</v>
      </c>
      <c r="H58" s="1051"/>
      <c r="I58" s="1051">
        <f t="shared" ref="I58" si="18">(M58+Q58)/2</f>
        <v>0</v>
      </c>
      <c r="J58" s="1051">
        <f t="shared" ref="J58" si="19">(N58+R58)/2</f>
        <v>290046.79500000004</v>
      </c>
      <c r="K58" s="1051">
        <f t="shared" ref="K58" si="20">(O58+S58)/2</f>
        <v>17890822.475000001</v>
      </c>
      <c r="L58" s="1051"/>
      <c r="M58" s="843"/>
      <c r="N58" s="843">
        <v>285396.46000000002</v>
      </c>
      <c r="O58" s="843">
        <v>19032375.57</v>
      </c>
      <c r="P58" s="1051"/>
      <c r="Q58" s="843">
        <v>0</v>
      </c>
      <c r="R58" s="843">
        <v>294697.13</v>
      </c>
      <c r="S58" s="843">
        <v>16749269.380000001</v>
      </c>
    </row>
    <row r="59" spans="1:19">
      <c r="A59" s="1081">
        <f t="shared" si="5"/>
        <v>5.3199999999999932</v>
      </c>
      <c r="B59" s="843" t="s">
        <v>1014</v>
      </c>
      <c r="C59" s="1051">
        <f t="shared" si="1"/>
        <v>0</v>
      </c>
      <c r="D59" s="1051">
        <f t="shared" si="2"/>
        <v>0</v>
      </c>
      <c r="E59" s="1051"/>
      <c r="F59" s="1051"/>
      <c r="G59" s="1051">
        <f t="shared" si="14"/>
        <v>0</v>
      </c>
      <c r="H59" s="1051"/>
      <c r="I59" s="1051">
        <f t="shared" si="4"/>
        <v>0</v>
      </c>
      <c r="J59" s="1051">
        <f t="shared" si="4"/>
        <v>0</v>
      </c>
      <c r="K59" s="1051">
        <f t="shared" si="4"/>
        <v>0</v>
      </c>
      <c r="L59" s="1051"/>
      <c r="M59" s="843">
        <v>0</v>
      </c>
      <c r="N59" s="843">
        <v>0</v>
      </c>
      <c r="O59" s="843">
        <v>0</v>
      </c>
      <c r="P59" s="1051"/>
      <c r="Q59" s="843">
        <v>0</v>
      </c>
      <c r="R59" s="843">
        <v>0</v>
      </c>
      <c r="S59" s="843">
        <v>0</v>
      </c>
    </row>
    <row r="60" spans="1:19">
      <c r="A60" s="1081">
        <f t="shared" si="5"/>
        <v>5.329999999999993</v>
      </c>
      <c r="B60" s="843" t="s">
        <v>1015</v>
      </c>
      <c r="C60" s="1051">
        <f>SUM(M60:O60)</f>
        <v>83969243.899999991</v>
      </c>
      <c r="D60" s="1051">
        <f>SUM(Q60:S60)</f>
        <v>92662050.38000001</v>
      </c>
      <c r="E60" s="1051"/>
      <c r="F60" s="1051"/>
      <c r="G60" s="1051">
        <f>ROUND(SUM(C60:F60)/2,0)</f>
        <v>88315647</v>
      </c>
      <c r="H60" s="1051"/>
      <c r="I60" s="1051">
        <f t="shared" si="4"/>
        <v>0</v>
      </c>
      <c r="J60" s="1051">
        <f t="shared" si="4"/>
        <v>30639479.744999997</v>
      </c>
      <c r="K60" s="1051">
        <f t="shared" si="4"/>
        <v>57676167.395000003</v>
      </c>
      <c r="L60" s="1051"/>
      <c r="M60" s="843">
        <v>0</v>
      </c>
      <c r="N60" s="843">
        <v>29020929.629999999</v>
      </c>
      <c r="O60" s="843">
        <v>54948314.269999996</v>
      </c>
      <c r="P60" s="1051"/>
      <c r="Q60" s="843">
        <v>0</v>
      </c>
      <c r="R60" s="843">
        <v>32258029.859999999</v>
      </c>
      <c r="S60" s="843">
        <v>60404020.520000011</v>
      </c>
    </row>
    <row r="61" spans="1:19">
      <c r="A61" s="1081">
        <f t="shared" si="5"/>
        <v>5.3399999999999928</v>
      </c>
      <c r="B61" s="843" t="s">
        <v>1016</v>
      </c>
      <c r="C61" s="1056">
        <f t="shared" si="1"/>
        <v>0</v>
      </c>
      <c r="D61" s="1056">
        <f t="shared" si="2"/>
        <v>0</v>
      </c>
      <c r="E61" s="1056"/>
      <c r="F61" s="1056"/>
      <c r="G61" s="1056">
        <f t="shared" si="14"/>
        <v>0</v>
      </c>
      <c r="H61" s="1056"/>
      <c r="I61" s="1056">
        <f t="shared" si="4"/>
        <v>0</v>
      </c>
      <c r="J61" s="1056">
        <f t="shared" si="4"/>
        <v>0</v>
      </c>
      <c r="K61" s="1056">
        <f t="shared" si="4"/>
        <v>0</v>
      </c>
      <c r="L61" s="1056"/>
      <c r="M61" s="843">
        <v>0</v>
      </c>
      <c r="N61" s="843">
        <v>0</v>
      </c>
      <c r="O61" s="843">
        <v>0</v>
      </c>
      <c r="P61" s="1056"/>
      <c r="Q61" s="843">
        <v>0</v>
      </c>
      <c r="R61" s="843">
        <v>0</v>
      </c>
      <c r="S61" s="843">
        <v>0</v>
      </c>
    </row>
    <row r="62" spans="1:19">
      <c r="A62" s="1081">
        <f t="shared" si="5"/>
        <v>5.3499999999999925</v>
      </c>
      <c r="B62" s="843" t="s">
        <v>1017</v>
      </c>
      <c r="C62" s="1051">
        <f t="shared" si="1"/>
        <v>0</v>
      </c>
      <c r="D62" s="1051">
        <f t="shared" si="2"/>
        <v>0</v>
      </c>
      <c r="E62" s="1051"/>
      <c r="F62" s="1051"/>
      <c r="G62" s="1051">
        <f t="shared" si="14"/>
        <v>0</v>
      </c>
      <c r="H62" s="1051"/>
      <c r="I62" s="1051">
        <f t="shared" si="4"/>
        <v>0</v>
      </c>
      <c r="J62" s="1051">
        <f t="shared" si="4"/>
        <v>0</v>
      </c>
      <c r="K62" s="1051">
        <f t="shared" si="4"/>
        <v>0</v>
      </c>
      <c r="L62" s="1051"/>
      <c r="M62" s="843">
        <v>0</v>
      </c>
      <c r="N62" s="843">
        <v>0</v>
      </c>
      <c r="O62" s="843">
        <v>0</v>
      </c>
      <c r="P62" s="1051"/>
      <c r="Q62" s="843">
        <v>0</v>
      </c>
      <c r="R62" s="843">
        <v>0</v>
      </c>
      <c r="S62" s="843">
        <v>0</v>
      </c>
    </row>
    <row r="63" spans="1:19">
      <c r="A63" s="1081">
        <f t="shared" si="5"/>
        <v>5.3599999999999923</v>
      </c>
      <c r="B63" s="843" t="s">
        <v>1305</v>
      </c>
      <c r="C63" s="1051">
        <f t="shared" ref="C63" si="21">SUM(M63:O63)</f>
        <v>0</v>
      </c>
      <c r="D63" s="1051">
        <f t="shared" ref="D63" si="22">SUM(Q63:S63)</f>
        <v>22451142</v>
      </c>
      <c r="E63" s="1051"/>
      <c r="F63" s="1051"/>
      <c r="G63" s="1051">
        <f t="shared" ref="G63" si="23">ROUND(SUM(C63:F63)/2,0)</f>
        <v>11225571</v>
      </c>
      <c r="H63" s="1051"/>
      <c r="I63" s="1051">
        <f t="shared" ref="I63" si="24">(M63+Q63)/2</f>
        <v>0</v>
      </c>
      <c r="J63" s="1051">
        <f t="shared" ref="J63" si="25">(N63+R63)/2</f>
        <v>0</v>
      </c>
      <c r="K63" s="1051">
        <f t="shared" ref="K63" si="26">(O63+S63)/2</f>
        <v>11225571</v>
      </c>
      <c r="L63" s="1051"/>
      <c r="M63" s="843">
        <v>0</v>
      </c>
      <c r="N63" s="843">
        <v>0</v>
      </c>
      <c r="O63" s="843">
        <v>0</v>
      </c>
      <c r="P63" s="1051"/>
      <c r="Q63" s="843">
        <v>0</v>
      </c>
      <c r="R63" s="843">
        <v>0</v>
      </c>
      <c r="S63" s="843">
        <v>22451142</v>
      </c>
    </row>
    <row r="64" spans="1:19">
      <c r="A64" s="1081">
        <f t="shared" si="5"/>
        <v>5.3699999999999921</v>
      </c>
      <c r="B64" s="843" t="s">
        <v>1304</v>
      </c>
      <c r="C64" s="1051">
        <f t="shared" ref="C64" si="27">SUM(M64:O64)</f>
        <v>14070925</v>
      </c>
      <c r="D64" s="1051">
        <f t="shared" ref="D64" si="28">SUM(Q64:S64)</f>
        <v>0</v>
      </c>
      <c r="E64" s="1051"/>
      <c r="F64" s="1051"/>
      <c r="G64" s="1051">
        <f t="shared" ref="G64" si="29">ROUND(SUM(C64:F64)/2,0)</f>
        <v>7035463</v>
      </c>
      <c r="H64" s="1051"/>
      <c r="I64" s="1051">
        <f t="shared" ref="I64" si="30">(M64+Q64)/2</f>
        <v>0</v>
      </c>
      <c r="J64" s="1051">
        <f t="shared" ref="J64" si="31">(N64+R64)/2</f>
        <v>699625.5</v>
      </c>
      <c r="K64" s="1051">
        <f t="shared" ref="K64" si="32">(O64+S64)/2</f>
        <v>6335837</v>
      </c>
      <c r="L64" s="1051"/>
      <c r="M64" s="843">
        <v>0</v>
      </c>
      <c r="N64" s="843">
        <v>1399251</v>
      </c>
      <c r="O64" s="843">
        <v>12671674</v>
      </c>
      <c r="P64" s="1051"/>
      <c r="Q64" s="843">
        <v>0</v>
      </c>
      <c r="R64" s="843">
        <v>0</v>
      </c>
      <c r="S64" s="843">
        <v>0</v>
      </c>
    </row>
    <row r="65" spans="1:19">
      <c r="A65" s="1081">
        <f t="shared" si="5"/>
        <v>5.3799999999999919</v>
      </c>
      <c r="B65" s="843" t="s">
        <v>1018</v>
      </c>
      <c r="C65" s="1051">
        <f>SUM(M65:O65)</f>
        <v>409213131</v>
      </c>
      <c r="D65" s="1051">
        <f>SUM(Q65:S65)</f>
        <v>379944144</v>
      </c>
      <c r="E65" s="1051"/>
      <c r="F65" s="1051"/>
      <c r="G65" s="1051">
        <f>ROUND(SUM(C65:F65)/2,0)</f>
        <v>394578638</v>
      </c>
      <c r="H65" s="1051"/>
      <c r="I65" s="1051">
        <f t="shared" si="4"/>
        <v>0</v>
      </c>
      <c r="J65" s="1051">
        <f t="shared" si="4"/>
        <v>136520543.5</v>
      </c>
      <c r="K65" s="1051">
        <f t="shared" si="4"/>
        <v>258058094</v>
      </c>
      <c r="L65" s="1051"/>
      <c r="M65" s="843">
        <v>0</v>
      </c>
      <c r="N65" s="843">
        <v>140458894</v>
      </c>
      <c r="O65" s="843">
        <v>268754237</v>
      </c>
      <c r="P65" s="1051"/>
      <c r="Q65" s="843">
        <v>0</v>
      </c>
      <c r="R65" s="843">
        <v>132582193</v>
      </c>
      <c r="S65" s="843">
        <v>247361951</v>
      </c>
    </row>
    <row r="66" spans="1:19">
      <c r="A66" s="1081">
        <f t="shared" si="5"/>
        <v>5.3899999999999917</v>
      </c>
      <c r="B66" s="843" t="s">
        <v>1019</v>
      </c>
      <c r="C66" s="843">
        <f t="shared" ref="C66:D69" si="33">-E66</f>
        <v>455564.55</v>
      </c>
      <c r="D66" s="843">
        <f t="shared" si="33"/>
        <v>455564.55</v>
      </c>
      <c r="E66" s="1051">
        <v>-455564.55</v>
      </c>
      <c r="F66" s="1051">
        <v>-455564.55</v>
      </c>
      <c r="G66" s="1051">
        <f t="shared" si="14"/>
        <v>0</v>
      </c>
      <c r="H66" s="1051"/>
      <c r="I66" s="1051"/>
      <c r="J66" s="1051"/>
      <c r="K66" s="1051"/>
      <c r="L66" s="1051"/>
      <c r="M66" s="1315"/>
      <c r="N66" s="1315"/>
      <c r="O66" s="1315"/>
      <c r="P66" s="1051"/>
      <c r="Q66" s="1315"/>
      <c r="R66" s="1315"/>
      <c r="S66" s="1315"/>
    </row>
    <row r="67" spans="1:19">
      <c r="A67" s="1081">
        <f t="shared" si="5"/>
        <v>5.3999999999999915</v>
      </c>
      <c r="B67" s="843" t="s">
        <v>1020</v>
      </c>
      <c r="C67" s="843">
        <f t="shared" ref="C67:C68" si="34">-E67</f>
        <v>47324764.079999998</v>
      </c>
      <c r="D67" s="843">
        <f t="shared" ref="D67:D68" si="35">-F67</f>
        <v>47395821.640000001</v>
      </c>
      <c r="E67" s="1051">
        <v>-47324764.079999998</v>
      </c>
      <c r="F67" s="1051">
        <v>-47395821.640000001</v>
      </c>
      <c r="G67" s="1051">
        <f t="shared" si="14"/>
        <v>0</v>
      </c>
      <c r="H67" s="1051"/>
      <c r="I67" s="1051"/>
      <c r="J67" s="1051"/>
      <c r="K67" s="1051"/>
      <c r="L67" s="1051"/>
      <c r="M67" s="1315"/>
      <c r="N67" s="1315"/>
      <c r="O67" s="1315"/>
      <c r="P67" s="1051"/>
      <c r="Q67" s="1315"/>
      <c r="R67" s="1315"/>
      <c r="S67" s="1315"/>
    </row>
    <row r="68" spans="1:19">
      <c r="A68" s="1081">
        <f t="shared" si="5"/>
        <v>5.4099999999999913</v>
      </c>
      <c r="B68" s="843" t="s">
        <v>1021</v>
      </c>
      <c r="C68" s="843">
        <f t="shared" si="34"/>
        <v>-409213131</v>
      </c>
      <c r="D68" s="843">
        <f t="shared" si="35"/>
        <v>-379944144</v>
      </c>
      <c r="E68" s="1051">
        <v>409213131</v>
      </c>
      <c r="F68" s="1051">
        <v>379944144</v>
      </c>
      <c r="G68" s="1051">
        <f t="shared" si="14"/>
        <v>0</v>
      </c>
      <c r="H68" s="1051"/>
      <c r="I68" s="1051"/>
      <c r="J68" s="1051"/>
      <c r="K68" s="1051"/>
      <c r="L68" s="1051"/>
      <c r="M68" s="1315"/>
      <c r="N68" s="1315"/>
      <c r="O68" s="1315"/>
      <c r="P68" s="1051"/>
      <c r="Q68" s="1315"/>
      <c r="R68" s="1315"/>
      <c r="S68" s="1315"/>
    </row>
    <row r="69" spans="1:19">
      <c r="A69" s="1081">
        <f t="shared" si="5"/>
        <v>5.419999999999991</v>
      </c>
      <c r="B69" s="843" t="s">
        <v>1297</v>
      </c>
      <c r="C69" s="843">
        <f t="shared" si="33"/>
        <v>0</v>
      </c>
      <c r="D69" s="843">
        <f t="shared" si="33"/>
        <v>-22451142</v>
      </c>
      <c r="E69" s="1051">
        <v>0</v>
      </c>
      <c r="F69" s="1051">
        <v>22451142</v>
      </c>
      <c r="G69" s="1051">
        <f t="shared" si="14"/>
        <v>0</v>
      </c>
      <c r="H69" s="1051"/>
      <c r="I69" s="1051"/>
      <c r="J69" s="1051"/>
      <c r="K69" s="1051"/>
      <c r="L69" s="1051"/>
      <c r="M69" s="1315"/>
      <c r="N69" s="1315"/>
      <c r="O69" s="1315"/>
      <c r="P69" s="1051"/>
      <c r="Q69" s="1315"/>
      <c r="R69" s="1315"/>
      <c r="S69" s="1315"/>
    </row>
    <row r="70" spans="1:19">
      <c r="A70"/>
    </row>
    <row r="71" spans="1:19">
      <c r="A71" s="1061"/>
      <c r="B71" s="1041"/>
      <c r="C71" s="1051"/>
      <c r="D71" s="1051"/>
      <c r="E71" s="1051"/>
      <c r="F71" s="1051"/>
      <c r="G71" s="1051"/>
      <c r="H71" s="1051"/>
      <c r="I71" s="1051"/>
      <c r="J71" s="1051"/>
      <c r="K71" s="1051"/>
      <c r="L71" s="1051"/>
      <c r="M71" s="1051"/>
      <c r="N71" s="1051"/>
      <c r="O71" s="1051"/>
      <c r="P71" s="1051"/>
      <c r="Q71" s="1051"/>
      <c r="R71" s="1051"/>
      <c r="S71" s="1051"/>
    </row>
    <row r="72" spans="1:19" ht="13.5" thickBot="1">
      <c r="A72" s="1061">
        <v>6</v>
      </c>
      <c r="B72" s="1042" t="s">
        <v>723</v>
      </c>
      <c r="C72" s="1054">
        <f>SUM(C28:C71)</f>
        <v>1023016941.2899997</v>
      </c>
      <c r="D72" s="1054">
        <f>SUM(D28:D71)</f>
        <v>1060034309.0500002</v>
      </c>
      <c r="E72" s="1054">
        <f>SUM(E28:E71)</f>
        <v>361432802.37</v>
      </c>
      <c r="F72" s="1054">
        <f>SUM(F28:F71)</f>
        <v>354543899.81</v>
      </c>
      <c r="G72" s="1054">
        <f>SUM(G28:G71)</f>
        <v>1399513974</v>
      </c>
      <c r="H72" s="1051"/>
      <c r="I72" s="1054">
        <f>SUM(I28:I71)</f>
        <v>0</v>
      </c>
      <c r="J72" s="1054">
        <f>SUM(J28:J71)</f>
        <v>451162712.76500005</v>
      </c>
      <c r="K72" s="1054">
        <f>SUM(K28:K71)</f>
        <v>948351263.49500012</v>
      </c>
      <c r="L72" s="1051"/>
      <c r="M72" s="1054">
        <f>SUM(M28:M71)</f>
        <v>0</v>
      </c>
      <c r="N72" s="1054">
        <f>SUM(N28:N71)</f>
        <v>436023493.7700001</v>
      </c>
      <c r="O72" s="1054">
        <f>SUM(O28:O71)</f>
        <v>948426249.8900001</v>
      </c>
      <c r="P72" s="1051"/>
      <c r="Q72" s="1054">
        <f>SUM(Q28:Q71)</f>
        <v>0</v>
      </c>
      <c r="R72" s="1054">
        <f>SUM(R28:R71)</f>
        <v>466301931.75999999</v>
      </c>
      <c r="S72" s="1054">
        <f>SUM(S28:S71)</f>
        <v>948276277.10000014</v>
      </c>
    </row>
    <row r="73" spans="1:19" ht="13.5" thickTop="1">
      <c r="A73" s="1061">
        <f>A72+1</f>
        <v>7</v>
      </c>
      <c r="B73" s="1121" t="s">
        <v>736</v>
      </c>
      <c r="C73" s="1055">
        <f>C35+C61</f>
        <v>476586.10000000003</v>
      </c>
      <c r="D73" s="1055">
        <f>D35+D61</f>
        <v>448610.21</v>
      </c>
      <c r="E73" s="1055">
        <f>E35+E61</f>
        <v>0</v>
      </c>
      <c r="F73" s="1055">
        <f>F35+F61</f>
        <v>0</v>
      </c>
      <c r="G73" s="1055">
        <f>G35+G61</f>
        <v>462598</v>
      </c>
      <c r="H73" s="1051"/>
      <c r="I73" s="1055">
        <f>I35+I61</f>
        <v>0</v>
      </c>
      <c r="J73" s="1055">
        <f>J35+J61</f>
        <v>6966.15</v>
      </c>
      <c r="K73" s="1055">
        <f>K35+K61</f>
        <v>455632.005</v>
      </c>
      <c r="L73" s="1055"/>
      <c r="M73" s="1055">
        <f>M35+M61</f>
        <v>0</v>
      </c>
      <c r="N73" s="1055">
        <f>N35+N61</f>
        <v>6966.15</v>
      </c>
      <c r="O73" s="1055">
        <f>O35+O61</f>
        <v>469619.95</v>
      </c>
      <c r="P73" s="1051"/>
      <c r="Q73" s="1055">
        <f>Q35+Q61</f>
        <v>0</v>
      </c>
      <c r="R73" s="1055">
        <f>R35+R61</f>
        <v>6966.15</v>
      </c>
      <c r="S73" s="1055">
        <f>S35+S61</f>
        <v>441644.06</v>
      </c>
    </row>
    <row r="74" spans="1:19">
      <c r="A74" s="1061"/>
      <c r="B74" s="1042"/>
      <c r="C74" s="1051"/>
      <c r="D74" s="1057"/>
      <c r="E74" s="1051"/>
      <c r="F74" s="1051"/>
      <c r="G74" s="1051"/>
      <c r="H74" s="1051"/>
      <c r="I74" s="1051"/>
      <c r="J74" s="1051"/>
      <c r="K74" s="1051"/>
      <c r="L74" s="1051"/>
      <c r="M74" s="1051"/>
      <c r="N74" s="1051"/>
      <c r="O74" s="1051"/>
      <c r="P74" s="1051"/>
      <c r="Q74" s="1051"/>
      <c r="R74" s="1051"/>
      <c r="S74" s="1051"/>
    </row>
    <row r="75" spans="1:19">
      <c r="A75" s="1061">
        <v>8</v>
      </c>
      <c r="B75" s="241" t="s">
        <v>724</v>
      </c>
      <c r="C75" s="1051" t="s">
        <v>114</v>
      </c>
      <c r="D75" s="1051"/>
      <c r="E75" s="1051"/>
      <c r="F75" s="1051"/>
      <c r="G75" s="1051"/>
      <c r="H75" s="1051"/>
      <c r="I75" s="1051"/>
      <c r="J75" s="1051"/>
      <c r="K75" s="1051"/>
      <c r="L75" s="1051"/>
      <c r="M75" s="1051"/>
      <c r="N75" s="1051"/>
      <c r="O75" s="1051"/>
      <c r="P75" s="1051"/>
      <c r="Q75" s="1051"/>
      <c r="R75" s="1051"/>
      <c r="S75" s="1051"/>
    </row>
    <row r="76" spans="1:19">
      <c r="A76" s="1061"/>
      <c r="B76" s="1041"/>
      <c r="C76" s="1051"/>
      <c r="D76" s="1051"/>
      <c r="E76" s="1051"/>
      <c r="F76" s="1051"/>
      <c r="G76" s="1051"/>
      <c r="H76" s="1051"/>
      <c r="I76" s="1051"/>
      <c r="J76" s="1051"/>
      <c r="K76" s="1051"/>
      <c r="L76" s="1051"/>
      <c r="M76" s="1051"/>
      <c r="N76" s="1051"/>
      <c r="O76" s="1051"/>
      <c r="P76" s="1051"/>
      <c r="Q76" s="1051"/>
      <c r="R76" s="1051"/>
      <c r="S76" s="1051"/>
    </row>
    <row r="77" spans="1:19">
      <c r="A77" s="1081">
        <v>9.01</v>
      </c>
      <c r="B77" s="843" t="s">
        <v>1022</v>
      </c>
      <c r="C77" s="1051">
        <f>SUM(M77:O77)</f>
        <v>317038.78999999998</v>
      </c>
      <c r="D77" s="1051">
        <f t="shared" ref="D77:D118" si="36">SUM(Q77:S77)</f>
        <v>332680.33</v>
      </c>
      <c r="E77" s="1051"/>
      <c r="F77" s="1051"/>
      <c r="G77" s="1051">
        <f t="shared" ref="G77:G110" si="37">ROUND(SUM(C77:F77)/2,0)</f>
        <v>324860</v>
      </c>
      <c r="H77" s="1051"/>
      <c r="I77" s="1051">
        <f>(M77+Q77)/2</f>
        <v>0</v>
      </c>
      <c r="J77" s="1051">
        <f>(N77+R77)/2</f>
        <v>0</v>
      </c>
      <c r="K77" s="1051">
        <f>(O77+S77)/2</f>
        <v>324859.56</v>
      </c>
      <c r="L77" s="1051"/>
      <c r="M77" s="843">
        <v>0</v>
      </c>
      <c r="N77" s="843">
        <v>0</v>
      </c>
      <c r="O77" s="843">
        <v>317038.78999999998</v>
      </c>
      <c r="P77" s="1051"/>
      <c r="Q77" s="843">
        <v>0</v>
      </c>
      <c r="R77" s="843">
        <v>0</v>
      </c>
      <c r="S77" s="843">
        <v>332680.33</v>
      </c>
    </row>
    <row r="78" spans="1:19">
      <c r="A78" s="1081">
        <f>A77+0.01</f>
        <v>9.02</v>
      </c>
      <c r="B78" s="843" t="s">
        <v>1023</v>
      </c>
      <c r="C78" s="1051">
        <f t="shared" ref="C78:C119" si="38">SUM(M78:O78)</f>
        <v>0</v>
      </c>
      <c r="D78" s="1051">
        <f t="shared" si="36"/>
        <v>0</v>
      </c>
      <c r="E78" s="1051"/>
      <c r="F78" s="1051"/>
      <c r="G78" s="1051">
        <f>ROUND(SUM(C78:F78)/2,0)</f>
        <v>0</v>
      </c>
      <c r="H78" s="1051"/>
      <c r="I78" s="1051">
        <f t="shared" ref="I78:K115" si="39">(M78+Q78)/2</f>
        <v>0</v>
      </c>
      <c r="J78" s="1051">
        <f t="shared" si="39"/>
        <v>0</v>
      </c>
      <c r="K78" s="1051">
        <f t="shared" si="39"/>
        <v>0</v>
      </c>
      <c r="L78" s="1051"/>
      <c r="M78" s="843">
        <v>0</v>
      </c>
      <c r="N78" s="843">
        <v>0</v>
      </c>
      <c r="O78" s="843">
        <v>0</v>
      </c>
      <c r="P78" s="1051"/>
      <c r="Q78" s="843">
        <v>0</v>
      </c>
      <c r="R78" s="843">
        <v>0</v>
      </c>
      <c r="S78" s="843">
        <v>0</v>
      </c>
    </row>
    <row r="79" spans="1:19">
      <c r="A79" s="1081">
        <f t="shared" ref="A79:A142" si="40">A78+0.01</f>
        <v>9.0299999999999994</v>
      </c>
      <c r="B79" s="843" t="s">
        <v>1024</v>
      </c>
      <c r="C79" s="1051">
        <f t="shared" si="38"/>
        <v>-0.22</v>
      </c>
      <c r="D79" s="1051">
        <f t="shared" si="36"/>
        <v>-1.06</v>
      </c>
      <c r="E79" s="1051"/>
      <c r="F79" s="1051"/>
      <c r="G79" s="1051">
        <f t="shared" si="37"/>
        <v>-1</v>
      </c>
      <c r="H79" s="1051"/>
      <c r="I79" s="1051">
        <f t="shared" si="39"/>
        <v>0</v>
      </c>
      <c r="J79" s="1051">
        <f t="shared" si="39"/>
        <v>0</v>
      </c>
      <c r="K79" s="1051">
        <f t="shared" si="39"/>
        <v>-0.64</v>
      </c>
      <c r="L79" s="1051"/>
      <c r="M79" s="843">
        <v>0</v>
      </c>
      <c r="N79" s="843">
        <v>0</v>
      </c>
      <c r="O79" s="843">
        <v>-0.22</v>
      </c>
      <c r="P79" s="1051"/>
      <c r="Q79" s="843">
        <v>0</v>
      </c>
      <c r="R79" s="843">
        <v>0</v>
      </c>
      <c r="S79" s="843">
        <v>-1.06</v>
      </c>
    </row>
    <row r="80" spans="1:19">
      <c r="A80" s="1081">
        <f t="shared" si="40"/>
        <v>9.0399999999999991</v>
      </c>
      <c r="B80" s="843" t="s">
        <v>1025</v>
      </c>
      <c r="C80" s="1051">
        <f t="shared" si="38"/>
        <v>0</v>
      </c>
      <c r="D80" s="1051">
        <f t="shared" si="36"/>
        <v>0</v>
      </c>
      <c r="E80" s="1051"/>
      <c r="F80" s="1051"/>
      <c r="G80" s="1051">
        <f t="shared" si="37"/>
        <v>0</v>
      </c>
      <c r="H80" s="1051"/>
      <c r="I80" s="1051">
        <f t="shared" si="39"/>
        <v>0</v>
      </c>
      <c r="J80" s="1051">
        <f t="shared" si="39"/>
        <v>0</v>
      </c>
      <c r="K80" s="1051">
        <f t="shared" si="39"/>
        <v>0</v>
      </c>
      <c r="L80" s="1051"/>
      <c r="M80" s="843">
        <v>0</v>
      </c>
      <c r="N80" s="843">
        <v>0</v>
      </c>
      <c r="O80" s="843">
        <v>0</v>
      </c>
      <c r="P80" s="1051"/>
      <c r="Q80" s="843">
        <v>0</v>
      </c>
      <c r="R80" s="843">
        <v>0</v>
      </c>
      <c r="S80" s="843">
        <v>0</v>
      </c>
    </row>
    <row r="81" spans="1:19">
      <c r="A81" s="1081">
        <f t="shared" si="40"/>
        <v>9.0499999999999989</v>
      </c>
      <c r="B81" s="843" t="s">
        <v>1026</v>
      </c>
      <c r="C81" s="1051">
        <f t="shared" si="38"/>
        <v>2194425.2400000002</v>
      </c>
      <c r="D81" s="1051">
        <f t="shared" si="36"/>
        <v>2194425.2400000002</v>
      </c>
      <c r="E81" s="1051"/>
      <c r="F81" s="1051"/>
      <c r="G81" s="1051">
        <f>ROUND(SUM(C81:F81)/2,0)</f>
        <v>2194425</v>
      </c>
      <c r="H81" s="1051"/>
      <c r="I81" s="1051">
        <f t="shared" si="39"/>
        <v>0</v>
      </c>
      <c r="J81" s="1051">
        <f t="shared" si="39"/>
        <v>0</v>
      </c>
      <c r="K81" s="1051">
        <f t="shared" si="39"/>
        <v>2194425.2400000002</v>
      </c>
      <c r="L81" s="1051"/>
      <c r="M81" s="843">
        <v>0</v>
      </c>
      <c r="N81" s="843">
        <v>0</v>
      </c>
      <c r="O81" s="843">
        <v>2194425.2400000002</v>
      </c>
      <c r="P81" s="1051"/>
      <c r="Q81" s="843">
        <v>0</v>
      </c>
      <c r="R81" s="843">
        <v>0</v>
      </c>
      <c r="S81" s="843">
        <v>2194425.2400000002</v>
      </c>
    </row>
    <row r="82" spans="1:19">
      <c r="A82" s="1081">
        <f t="shared" si="40"/>
        <v>9.0599999999999987</v>
      </c>
      <c r="B82" s="843" t="s">
        <v>1027</v>
      </c>
      <c r="C82" s="1051">
        <f t="shared" si="38"/>
        <v>0</v>
      </c>
      <c r="D82" s="1051">
        <f t="shared" si="36"/>
        <v>0</v>
      </c>
      <c r="E82" s="1051"/>
      <c r="F82" s="1051"/>
      <c r="G82" s="1051">
        <f>ROUND(SUM(C82:F82)/2,0)</f>
        <v>0</v>
      </c>
      <c r="H82" s="1051"/>
      <c r="I82" s="1051">
        <f t="shared" si="39"/>
        <v>0</v>
      </c>
      <c r="J82" s="1051">
        <f t="shared" si="39"/>
        <v>0</v>
      </c>
      <c r="K82" s="1051">
        <f t="shared" si="39"/>
        <v>0</v>
      </c>
      <c r="L82" s="1051"/>
      <c r="M82" s="843">
        <v>0</v>
      </c>
      <c r="N82" s="843">
        <v>0</v>
      </c>
      <c r="O82" s="843">
        <v>0</v>
      </c>
      <c r="P82" s="1051"/>
      <c r="Q82" s="843">
        <v>0</v>
      </c>
      <c r="R82" s="843">
        <v>0</v>
      </c>
      <c r="S82" s="843">
        <v>0</v>
      </c>
    </row>
    <row r="83" spans="1:19">
      <c r="A83" s="1081">
        <f t="shared" si="40"/>
        <v>9.0699999999999985</v>
      </c>
      <c r="B83" s="843" t="s">
        <v>1028</v>
      </c>
      <c r="C83" s="1051">
        <f t="shared" si="38"/>
        <v>-0.08</v>
      </c>
      <c r="D83" s="1051">
        <f t="shared" si="36"/>
        <v>-0.08</v>
      </c>
      <c r="E83" s="1051"/>
      <c r="F83" s="1051"/>
      <c r="G83" s="1051">
        <f t="shared" si="37"/>
        <v>0</v>
      </c>
      <c r="H83" s="1051"/>
      <c r="I83" s="1051">
        <f t="shared" si="39"/>
        <v>0</v>
      </c>
      <c r="J83" s="1051">
        <f t="shared" si="39"/>
        <v>0</v>
      </c>
      <c r="K83" s="1051">
        <f t="shared" si="39"/>
        <v>-0.08</v>
      </c>
      <c r="L83" s="1051"/>
      <c r="M83" s="843">
        <v>0</v>
      </c>
      <c r="N83" s="843">
        <v>0</v>
      </c>
      <c r="O83" s="843">
        <v>-0.08</v>
      </c>
      <c r="P83" s="1051"/>
      <c r="Q83" s="843">
        <v>0</v>
      </c>
      <c r="R83" s="843">
        <v>0</v>
      </c>
      <c r="S83" s="843">
        <v>-0.08</v>
      </c>
    </row>
    <row r="84" spans="1:19">
      <c r="A84" s="1081">
        <f t="shared" si="40"/>
        <v>9.0799999999999983</v>
      </c>
      <c r="B84" s="843" t="s">
        <v>1029</v>
      </c>
      <c r="C84" s="1051">
        <f t="shared" si="38"/>
        <v>23915.91</v>
      </c>
      <c r="D84" s="1051">
        <f t="shared" si="36"/>
        <v>13174.62</v>
      </c>
      <c r="E84" s="1051"/>
      <c r="F84" s="1051"/>
      <c r="G84" s="1051">
        <f t="shared" si="37"/>
        <v>18545</v>
      </c>
      <c r="H84" s="1051"/>
      <c r="I84" s="1051">
        <f t="shared" si="39"/>
        <v>0</v>
      </c>
      <c r="J84" s="1051">
        <f t="shared" si="39"/>
        <v>16883.595000000001</v>
      </c>
      <c r="K84" s="1051">
        <f t="shared" si="39"/>
        <v>1661.67</v>
      </c>
      <c r="L84" s="1051"/>
      <c r="M84" s="843">
        <v>0</v>
      </c>
      <c r="N84" s="843">
        <v>20462.57</v>
      </c>
      <c r="O84" s="843">
        <v>3453.34</v>
      </c>
      <c r="P84" s="1051"/>
      <c r="Q84" s="843">
        <v>0</v>
      </c>
      <c r="R84" s="843">
        <v>13304.62</v>
      </c>
      <c r="S84" s="843">
        <v>-130</v>
      </c>
    </row>
    <row r="85" spans="1:19">
      <c r="A85" s="1081">
        <f t="shared" si="40"/>
        <v>9.0899999999999981</v>
      </c>
      <c r="B85" s="843" t="s">
        <v>1263</v>
      </c>
      <c r="C85" s="1051">
        <f t="shared" si="38"/>
        <v>96582.99</v>
      </c>
      <c r="D85" s="1051">
        <f t="shared" si="36"/>
        <v>0</v>
      </c>
      <c r="E85" s="1051"/>
      <c r="F85" s="1051"/>
      <c r="G85" s="1051">
        <f t="shared" si="37"/>
        <v>48291</v>
      </c>
      <c r="H85" s="1051"/>
      <c r="I85" s="1051">
        <f t="shared" si="39"/>
        <v>0</v>
      </c>
      <c r="J85" s="1051">
        <f t="shared" si="39"/>
        <v>46383.96</v>
      </c>
      <c r="K85" s="1051">
        <f t="shared" si="39"/>
        <v>1907.5350000000001</v>
      </c>
      <c r="L85" s="1051"/>
      <c r="M85" s="843">
        <v>0</v>
      </c>
      <c r="N85" s="843">
        <v>92767.92</v>
      </c>
      <c r="O85" s="843">
        <v>3815.07</v>
      </c>
      <c r="P85" s="1051"/>
      <c r="Q85" s="843">
        <v>0</v>
      </c>
      <c r="R85" s="843">
        <v>0</v>
      </c>
      <c r="S85" s="843">
        <v>0</v>
      </c>
    </row>
    <row r="86" spans="1:19">
      <c r="A86" s="1081">
        <f t="shared" si="40"/>
        <v>9.0999999999999979</v>
      </c>
      <c r="B86" s="843" t="s">
        <v>1030</v>
      </c>
      <c r="C86" s="1051">
        <f t="shared" si="38"/>
        <v>5090979.8099999996</v>
      </c>
      <c r="D86" s="1051">
        <f t="shared" si="36"/>
        <v>5090979.8099999996</v>
      </c>
      <c r="E86" s="1051"/>
      <c r="F86" s="1051"/>
      <c r="G86" s="1051">
        <f t="shared" si="37"/>
        <v>5090980</v>
      </c>
      <c r="H86" s="1051"/>
      <c r="I86" s="1051">
        <f t="shared" si="39"/>
        <v>0</v>
      </c>
      <c r="J86" s="1051">
        <f t="shared" si="39"/>
        <v>0</v>
      </c>
      <c r="K86" s="1051">
        <f t="shared" si="39"/>
        <v>5090979.8099999996</v>
      </c>
      <c r="L86" s="1051"/>
      <c r="M86" s="843">
        <v>0</v>
      </c>
      <c r="N86" s="843">
        <v>0</v>
      </c>
      <c r="O86" s="843">
        <v>5090979.8099999996</v>
      </c>
      <c r="P86" s="1051"/>
      <c r="Q86" s="843">
        <v>0</v>
      </c>
      <c r="R86" s="843">
        <v>0</v>
      </c>
      <c r="S86" s="843">
        <v>5090979.8099999996</v>
      </c>
    </row>
    <row r="87" spans="1:19">
      <c r="A87" s="1081">
        <f t="shared" si="40"/>
        <v>9.1099999999999977</v>
      </c>
      <c r="B87" s="843" t="s">
        <v>1031</v>
      </c>
      <c r="C87" s="1051">
        <f t="shared" si="38"/>
        <v>-181806.98</v>
      </c>
      <c r="D87" s="1051">
        <f t="shared" si="36"/>
        <v>-188967.12</v>
      </c>
      <c r="E87" s="1051"/>
      <c r="F87" s="1051"/>
      <c r="G87" s="1051">
        <f t="shared" si="37"/>
        <v>-185387</v>
      </c>
      <c r="H87" s="1051"/>
      <c r="I87" s="1051">
        <f t="shared" si="39"/>
        <v>0</v>
      </c>
      <c r="J87" s="1051">
        <f t="shared" si="39"/>
        <v>-185387.05</v>
      </c>
      <c r="K87" s="1051">
        <f t="shared" si="39"/>
        <v>0</v>
      </c>
      <c r="L87" s="1051"/>
      <c r="M87" s="843">
        <v>0</v>
      </c>
      <c r="N87" s="843">
        <v>-181806.98</v>
      </c>
      <c r="O87" s="843">
        <v>0</v>
      </c>
      <c r="P87" s="1051"/>
      <c r="Q87" s="843">
        <v>0</v>
      </c>
      <c r="R87" s="843">
        <v>-188967.12</v>
      </c>
      <c r="S87" s="843">
        <v>0</v>
      </c>
    </row>
    <row r="88" spans="1:19">
      <c r="A88" s="1081">
        <f t="shared" si="40"/>
        <v>9.1199999999999974</v>
      </c>
      <c r="B88" s="843" t="s">
        <v>1032</v>
      </c>
      <c r="C88" s="1051">
        <f t="shared" si="38"/>
        <v>7.0000000000000007E-2</v>
      </c>
      <c r="D88" s="1051">
        <f t="shared" si="36"/>
        <v>7.0000000000000007E-2</v>
      </c>
      <c r="E88" s="1051"/>
      <c r="F88" s="1051"/>
      <c r="G88" s="1051">
        <f t="shared" si="37"/>
        <v>0</v>
      </c>
      <c r="H88" s="1051"/>
      <c r="I88" s="1051">
        <f t="shared" si="39"/>
        <v>0</v>
      </c>
      <c r="J88" s="1051">
        <f t="shared" si="39"/>
        <v>0</v>
      </c>
      <c r="K88" s="1051">
        <f t="shared" si="39"/>
        <v>7.0000000000000007E-2</v>
      </c>
      <c r="L88" s="1051"/>
      <c r="M88" s="843">
        <v>0</v>
      </c>
      <c r="N88" s="843">
        <v>0</v>
      </c>
      <c r="O88" s="843">
        <v>7.0000000000000007E-2</v>
      </c>
      <c r="P88" s="1051"/>
      <c r="Q88" s="843">
        <v>0</v>
      </c>
      <c r="R88" s="843">
        <v>0</v>
      </c>
      <c r="S88" s="843">
        <v>7.0000000000000007E-2</v>
      </c>
    </row>
    <row r="89" spans="1:19">
      <c r="A89" s="1081">
        <f t="shared" si="40"/>
        <v>9.1299999999999972</v>
      </c>
      <c r="B89" s="843" t="s">
        <v>1033</v>
      </c>
      <c r="C89" s="1051">
        <f t="shared" si="38"/>
        <v>0</v>
      </c>
      <c r="D89" s="1051">
        <f t="shared" si="36"/>
        <v>0</v>
      </c>
      <c r="E89" s="1051"/>
      <c r="F89" s="1051"/>
      <c r="G89" s="1051">
        <f t="shared" si="37"/>
        <v>0</v>
      </c>
      <c r="H89" s="1051"/>
      <c r="I89" s="1051">
        <f t="shared" si="39"/>
        <v>0</v>
      </c>
      <c r="J89" s="1051">
        <f t="shared" si="39"/>
        <v>0</v>
      </c>
      <c r="K89" s="1051">
        <f t="shared" si="39"/>
        <v>0</v>
      </c>
      <c r="L89" s="1051"/>
      <c r="M89" s="843">
        <v>0</v>
      </c>
      <c r="N89" s="843">
        <v>0</v>
      </c>
      <c r="O89" s="843">
        <v>0</v>
      </c>
      <c r="P89" s="1051"/>
      <c r="Q89" s="843">
        <v>0</v>
      </c>
      <c r="R89" s="843">
        <v>0</v>
      </c>
      <c r="S89" s="843">
        <v>0</v>
      </c>
    </row>
    <row r="90" spans="1:19">
      <c r="A90" s="1081">
        <f t="shared" si="40"/>
        <v>9.139999999999997</v>
      </c>
      <c r="B90" s="843" t="s">
        <v>1034</v>
      </c>
      <c r="C90" s="1051">
        <f t="shared" si="38"/>
        <v>32231766.080000002</v>
      </c>
      <c r="D90" s="1051">
        <f t="shared" si="36"/>
        <v>30856621.950000003</v>
      </c>
      <c r="E90" s="1051"/>
      <c r="F90" s="1051"/>
      <c r="G90" s="1051">
        <f t="shared" si="37"/>
        <v>31544194</v>
      </c>
      <c r="H90" s="1051"/>
      <c r="I90" s="1051">
        <f t="shared" si="39"/>
        <v>0</v>
      </c>
      <c r="J90" s="1051">
        <f t="shared" si="39"/>
        <v>4432259.9399999995</v>
      </c>
      <c r="K90" s="1051">
        <f t="shared" si="39"/>
        <v>27111934.075000003</v>
      </c>
      <c r="L90" s="1051"/>
      <c r="M90" s="843">
        <v>0</v>
      </c>
      <c r="N90" s="843">
        <v>4423605.53</v>
      </c>
      <c r="O90" s="843">
        <v>27808160.550000001</v>
      </c>
      <c r="P90" s="1051"/>
      <c r="Q90" s="843">
        <v>0</v>
      </c>
      <c r="R90" s="843">
        <v>4440914.3499999996</v>
      </c>
      <c r="S90" s="843">
        <v>26415707.600000001</v>
      </c>
    </row>
    <row r="91" spans="1:19">
      <c r="A91" s="1081">
        <f t="shared" si="40"/>
        <v>9.1499999999999968</v>
      </c>
      <c r="B91" s="843" t="s">
        <v>1035</v>
      </c>
      <c r="C91" s="1051">
        <f t="shared" si="38"/>
        <v>-31415666.940000001</v>
      </c>
      <c r="D91" s="1051">
        <f t="shared" si="36"/>
        <v>-24704407.140000001</v>
      </c>
      <c r="E91" s="1051"/>
      <c r="F91" s="1051"/>
      <c r="G91" s="1051">
        <f t="shared" si="37"/>
        <v>-28060037</v>
      </c>
      <c r="H91" s="1051"/>
      <c r="I91" s="1051">
        <f t="shared" si="39"/>
        <v>0</v>
      </c>
      <c r="J91" s="1051">
        <f t="shared" si="39"/>
        <v>-4622229.1500000004</v>
      </c>
      <c r="K91" s="1051">
        <f t="shared" si="39"/>
        <v>-23437807.890000001</v>
      </c>
      <c r="L91" s="1051"/>
      <c r="M91" s="843">
        <v>0</v>
      </c>
      <c r="N91" s="843">
        <v>-4937078.16</v>
      </c>
      <c r="O91" s="843">
        <v>-26478588.780000001</v>
      </c>
      <c r="P91" s="1051"/>
      <c r="Q91" s="843">
        <v>0</v>
      </c>
      <c r="R91" s="843">
        <v>-4307380.1399999997</v>
      </c>
      <c r="S91" s="843">
        <v>-20397027</v>
      </c>
    </row>
    <row r="92" spans="1:19">
      <c r="A92" s="1081">
        <f t="shared" si="40"/>
        <v>9.1599999999999966</v>
      </c>
      <c r="B92" s="843" t="s">
        <v>1036</v>
      </c>
      <c r="C92" s="1051">
        <f t="shared" si="38"/>
        <v>0</v>
      </c>
      <c r="D92" s="1051">
        <f t="shared" si="36"/>
        <v>0</v>
      </c>
      <c r="E92" s="1051"/>
      <c r="F92" s="1051"/>
      <c r="G92" s="1051">
        <f t="shared" si="37"/>
        <v>0</v>
      </c>
      <c r="H92" s="1051"/>
      <c r="I92" s="1051">
        <f t="shared" si="39"/>
        <v>0</v>
      </c>
      <c r="J92" s="1051">
        <f t="shared" si="39"/>
        <v>0</v>
      </c>
      <c r="K92" s="1051">
        <f t="shared" si="39"/>
        <v>0</v>
      </c>
      <c r="L92" s="1051"/>
      <c r="M92" s="843">
        <v>0</v>
      </c>
      <c r="N92" s="843">
        <v>0</v>
      </c>
      <c r="O92" s="843">
        <v>0</v>
      </c>
      <c r="P92" s="1051"/>
      <c r="Q92" s="843">
        <v>0</v>
      </c>
      <c r="R92" s="843">
        <v>0</v>
      </c>
      <c r="S92" s="843">
        <v>0</v>
      </c>
    </row>
    <row r="93" spans="1:19">
      <c r="A93" s="1081">
        <f t="shared" si="40"/>
        <v>9.1699999999999964</v>
      </c>
      <c r="B93" s="843" t="s">
        <v>1166</v>
      </c>
      <c r="C93" s="1051">
        <f t="shared" ref="C93:C95" si="41">SUM(M93:O93)</f>
        <v>21251.919999999998</v>
      </c>
      <c r="D93" s="1051">
        <f t="shared" ref="D93:D95" si="42">SUM(Q93:S93)</f>
        <v>377.62</v>
      </c>
      <c r="E93" s="1051"/>
      <c r="F93" s="1051"/>
      <c r="G93" s="1051">
        <f t="shared" ref="G93:G95" si="43">ROUND(SUM(C93:F93)/2,0)</f>
        <v>10815</v>
      </c>
      <c r="H93" s="1051"/>
      <c r="I93" s="1051">
        <f t="shared" ref="I93:I95" si="44">(M93+Q93)/2</f>
        <v>0</v>
      </c>
      <c r="J93" s="1051">
        <f t="shared" ref="J93:J95" si="45">(N93+R93)/2</f>
        <v>0</v>
      </c>
      <c r="K93" s="1051">
        <f t="shared" ref="K93:K95" si="46">(O93+S93)/2</f>
        <v>10814.769999999999</v>
      </c>
      <c r="L93" s="1051"/>
      <c r="M93" s="843">
        <v>0</v>
      </c>
      <c r="N93" s="843">
        <v>0</v>
      </c>
      <c r="O93" s="843">
        <v>21251.919999999998</v>
      </c>
      <c r="P93" s="1051"/>
      <c r="Q93" s="843">
        <v>0</v>
      </c>
      <c r="R93" s="843">
        <v>0</v>
      </c>
      <c r="S93" s="843">
        <v>377.62</v>
      </c>
    </row>
    <row r="94" spans="1:19">
      <c r="A94" s="1081">
        <f t="shared" si="40"/>
        <v>9.1799999999999962</v>
      </c>
      <c r="B94" s="843" t="s">
        <v>1124</v>
      </c>
      <c r="C94" s="1051">
        <f t="shared" si="41"/>
        <v>1458627.57</v>
      </c>
      <c r="D94" s="1051">
        <f t="shared" si="42"/>
        <v>0.06</v>
      </c>
      <c r="E94" s="1051"/>
      <c r="F94" s="1051"/>
      <c r="G94" s="1051">
        <f t="shared" si="43"/>
        <v>729314</v>
      </c>
      <c r="H94" s="1051"/>
      <c r="I94" s="1051">
        <f t="shared" si="44"/>
        <v>0</v>
      </c>
      <c r="J94" s="1051">
        <f t="shared" si="45"/>
        <v>0</v>
      </c>
      <c r="K94" s="1051">
        <f t="shared" si="46"/>
        <v>729313.81500000006</v>
      </c>
      <c r="L94" s="1051"/>
      <c r="M94" s="843">
        <v>0</v>
      </c>
      <c r="N94" s="843">
        <v>0</v>
      </c>
      <c r="O94" s="843">
        <v>1458627.57</v>
      </c>
      <c r="P94" s="1051"/>
      <c r="Q94" s="843">
        <v>0</v>
      </c>
      <c r="R94" s="843">
        <v>0</v>
      </c>
      <c r="S94" s="843">
        <v>0.06</v>
      </c>
    </row>
    <row r="95" spans="1:19">
      <c r="A95" s="1081">
        <f t="shared" si="40"/>
        <v>9.1899999999999959</v>
      </c>
      <c r="B95" s="843" t="s">
        <v>1037</v>
      </c>
      <c r="C95" s="1051">
        <f t="shared" si="41"/>
        <v>0</v>
      </c>
      <c r="D95" s="1051">
        <f t="shared" si="42"/>
        <v>0</v>
      </c>
      <c r="E95" s="1051"/>
      <c r="F95" s="1051"/>
      <c r="G95" s="1051">
        <f t="shared" si="43"/>
        <v>0</v>
      </c>
      <c r="H95" s="1051"/>
      <c r="I95" s="1051">
        <f t="shared" si="44"/>
        <v>0</v>
      </c>
      <c r="J95" s="1051">
        <f t="shared" si="45"/>
        <v>0</v>
      </c>
      <c r="K95" s="1051">
        <f t="shared" si="46"/>
        <v>0</v>
      </c>
      <c r="L95" s="1051"/>
      <c r="M95" s="843">
        <v>0</v>
      </c>
      <c r="N95" s="843">
        <v>0</v>
      </c>
      <c r="O95" s="843">
        <v>0</v>
      </c>
      <c r="P95" s="1051"/>
      <c r="Q95" s="843">
        <v>0</v>
      </c>
      <c r="R95" s="843">
        <v>0</v>
      </c>
      <c r="S95" s="843">
        <v>0</v>
      </c>
    </row>
    <row r="96" spans="1:19">
      <c r="A96" s="1081">
        <f t="shared" si="40"/>
        <v>9.1999999999999957</v>
      </c>
      <c r="B96" s="843" t="s">
        <v>1038</v>
      </c>
      <c r="C96" s="1051">
        <f t="shared" si="38"/>
        <v>0</v>
      </c>
      <c r="D96" s="1051">
        <f t="shared" si="36"/>
        <v>0</v>
      </c>
      <c r="E96" s="1051"/>
      <c r="F96" s="1051"/>
      <c r="G96" s="1051">
        <f t="shared" si="37"/>
        <v>0</v>
      </c>
      <c r="H96" s="1051"/>
      <c r="I96" s="1051">
        <f t="shared" si="39"/>
        <v>0</v>
      </c>
      <c r="J96" s="1051">
        <f t="shared" si="39"/>
        <v>0</v>
      </c>
      <c r="K96" s="1051">
        <f t="shared" si="39"/>
        <v>0</v>
      </c>
      <c r="L96" s="1051"/>
      <c r="M96" s="843">
        <v>0</v>
      </c>
      <c r="N96" s="843">
        <v>0</v>
      </c>
      <c r="O96" s="843">
        <v>0</v>
      </c>
      <c r="P96" s="1051"/>
      <c r="Q96" s="843">
        <v>0</v>
      </c>
      <c r="R96" s="843">
        <v>0</v>
      </c>
      <c r="S96" s="843">
        <v>0</v>
      </c>
    </row>
    <row r="97" spans="1:19">
      <c r="A97" s="1081">
        <f t="shared" si="40"/>
        <v>9.2099999999999955</v>
      </c>
      <c r="B97" s="843" t="s">
        <v>1039</v>
      </c>
      <c r="C97" s="1051">
        <f t="shared" si="38"/>
        <v>0</v>
      </c>
      <c r="D97" s="1051">
        <f t="shared" si="36"/>
        <v>0</v>
      </c>
      <c r="E97" s="1051"/>
      <c r="F97" s="1051"/>
      <c r="G97" s="1051">
        <f t="shared" si="37"/>
        <v>0</v>
      </c>
      <c r="H97" s="1051"/>
      <c r="I97" s="1051">
        <f t="shared" si="39"/>
        <v>0</v>
      </c>
      <c r="J97" s="1051">
        <f t="shared" si="39"/>
        <v>0</v>
      </c>
      <c r="K97" s="1051">
        <f t="shared" si="39"/>
        <v>0</v>
      </c>
      <c r="L97" s="1051"/>
      <c r="M97" s="843">
        <v>0</v>
      </c>
      <c r="N97" s="843">
        <v>0</v>
      </c>
      <c r="O97" s="843">
        <v>0</v>
      </c>
      <c r="P97" s="1051"/>
      <c r="Q97" s="843">
        <v>0</v>
      </c>
      <c r="R97" s="843">
        <v>0</v>
      </c>
      <c r="S97" s="843">
        <v>0</v>
      </c>
    </row>
    <row r="98" spans="1:19">
      <c r="A98" s="1081">
        <f t="shared" si="40"/>
        <v>9.2199999999999953</v>
      </c>
      <c r="B98" s="843" t="s">
        <v>1040</v>
      </c>
      <c r="C98" s="1051">
        <f t="shared" si="38"/>
        <v>12503.43</v>
      </c>
      <c r="D98" s="1051">
        <f t="shared" si="36"/>
        <v>0.03</v>
      </c>
      <c r="E98" s="1051"/>
      <c r="F98" s="1051"/>
      <c r="G98" s="1051">
        <f>ROUND(SUM(C98:F98)/2,0)</f>
        <v>6252</v>
      </c>
      <c r="H98" s="1051"/>
      <c r="I98" s="1051">
        <f t="shared" si="39"/>
        <v>0</v>
      </c>
      <c r="J98" s="1051">
        <f t="shared" si="39"/>
        <v>0</v>
      </c>
      <c r="K98" s="1051">
        <f t="shared" si="39"/>
        <v>6251.7300000000005</v>
      </c>
      <c r="L98" s="1051"/>
      <c r="M98" s="843">
        <v>0</v>
      </c>
      <c r="N98" s="843">
        <v>0</v>
      </c>
      <c r="O98" s="843">
        <v>12503.43</v>
      </c>
      <c r="P98" s="1051"/>
      <c r="Q98" s="843">
        <v>0</v>
      </c>
      <c r="R98" s="843">
        <v>0</v>
      </c>
      <c r="S98" s="843">
        <v>0.03</v>
      </c>
    </row>
    <row r="99" spans="1:19">
      <c r="A99" s="1081">
        <f t="shared" si="40"/>
        <v>9.2299999999999951</v>
      </c>
      <c r="B99" s="843" t="s">
        <v>1121</v>
      </c>
      <c r="C99" s="1051">
        <f t="shared" si="38"/>
        <v>856243.35</v>
      </c>
      <c r="D99" s="1051">
        <f t="shared" si="36"/>
        <v>795462.33</v>
      </c>
      <c r="E99" s="1051"/>
      <c r="F99" s="1051"/>
      <c r="G99" s="1051">
        <f t="shared" si="37"/>
        <v>825853</v>
      </c>
      <c r="H99" s="1051"/>
      <c r="I99" s="1051">
        <f t="shared" si="39"/>
        <v>0</v>
      </c>
      <c r="J99" s="1051">
        <f t="shared" si="39"/>
        <v>0</v>
      </c>
      <c r="K99" s="1051">
        <f t="shared" si="39"/>
        <v>825852.84</v>
      </c>
      <c r="L99" s="1051"/>
      <c r="M99" s="843">
        <v>0</v>
      </c>
      <c r="N99" s="843">
        <v>0</v>
      </c>
      <c r="O99" s="843">
        <v>856243.35</v>
      </c>
      <c r="P99" s="1051"/>
      <c r="Q99" s="843">
        <v>0</v>
      </c>
      <c r="R99" s="843">
        <v>0</v>
      </c>
      <c r="S99" s="843">
        <v>795462.33</v>
      </c>
    </row>
    <row r="100" spans="1:19">
      <c r="A100" s="1081">
        <f t="shared" si="40"/>
        <v>9.2399999999999949</v>
      </c>
      <c r="B100" s="843" t="s">
        <v>1265</v>
      </c>
      <c r="C100" s="1051">
        <f t="shared" si="38"/>
        <v>15498.63</v>
      </c>
      <c r="D100" s="1051">
        <f t="shared" si="36"/>
        <v>15498.63</v>
      </c>
      <c r="E100" s="1051"/>
      <c r="F100" s="1051"/>
      <c r="G100" s="1051">
        <f t="shared" si="37"/>
        <v>15499</v>
      </c>
      <c r="H100" s="1051"/>
      <c r="I100" s="1051">
        <f t="shared" si="39"/>
        <v>0</v>
      </c>
      <c r="J100" s="1051">
        <f t="shared" si="39"/>
        <v>0</v>
      </c>
      <c r="K100" s="1051">
        <f t="shared" si="39"/>
        <v>15498.63</v>
      </c>
      <c r="L100" s="1051"/>
      <c r="M100" s="843">
        <v>0</v>
      </c>
      <c r="N100" s="843">
        <v>0</v>
      </c>
      <c r="O100" s="843">
        <v>15498.63</v>
      </c>
      <c r="P100" s="1051"/>
      <c r="Q100" s="843">
        <v>0</v>
      </c>
      <c r="R100" s="843">
        <v>0</v>
      </c>
      <c r="S100" s="843">
        <v>15498.63</v>
      </c>
    </row>
    <row r="101" spans="1:19">
      <c r="A101" s="1081">
        <f t="shared" si="40"/>
        <v>9.2499999999999947</v>
      </c>
      <c r="B101" s="843" t="s">
        <v>1166</v>
      </c>
      <c r="C101" s="1051">
        <f t="shared" si="38"/>
        <v>862.16</v>
      </c>
      <c r="D101" s="1051">
        <f t="shared" si="36"/>
        <v>993.2</v>
      </c>
      <c r="E101" s="1051"/>
      <c r="F101" s="1051"/>
      <c r="G101" s="1051">
        <f>ROUND(SUM(C101:F101)/2,0)</f>
        <v>928</v>
      </c>
      <c r="H101" s="1051"/>
      <c r="I101" s="1051">
        <f t="shared" si="39"/>
        <v>0</v>
      </c>
      <c r="J101" s="1051">
        <f t="shared" si="39"/>
        <v>927.68000000000006</v>
      </c>
      <c r="K101" s="1051">
        <f t="shared" si="39"/>
        <v>0</v>
      </c>
      <c r="L101" s="1051"/>
      <c r="M101" s="843">
        <v>0</v>
      </c>
      <c r="N101" s="843">
        <v>862.16</v>
      </c>
      <c r="O101" s="843">
        <v>0</v>
      </c>
      <c r="P101" s="1051"/>
      <c r="Q101" s="843">
        <v>0</v>
      </c>
      <c r="R101" s="843">
        <v>993.2</v>
      </c>
      <c r="S101" s="843">
        <v>0</v>
      </c>
    </row>
    <row r="102" spans="1:19">
      <c r="A102" s="1081">
        <f t="shared" si="40"/>
        <v>9.2599999999999945</v>
      </c>
      <c r="B102" s="843" t="s">
        <v>1264</v>
      </c>
      <c r="C102" s="1051">
        <f t="shared" si="38"/>
        <v>926434.19</v>
      </c>
      <c r="D102" s="1051">
        <f t="shared" si="36"/>
        <v>0.13</v>
      </c>
      <c r="E102" s="1051"/>
      <c r="F102" s="1051"/>
      <c r="G102" s="1051">
        <f t="shared" si="37"/>
        <v>463217</v>
      </c>
      <c r="H102" s="1051"/>
      <c r="I102" s="1051">
        <f t="shared" si="39"/>
        <v>0</v>
      </c>
      <c r="J102" s="1051">
        <f t="shared" si="39"/>
        <v>4144.53</v>
      </c>
      <c r="K102" s="1051">
        <f t="shared" si="39"/>
        <v>459072.62999999995</v>
      </c>
      <c r="L102" s="1051"/>
      <c r="M102" s="843">
        <v>0</v>
      </c>
      <c r="N102" s="843">
        <v>8289</v>
      </c>
      <c r="O102" s="843">
        <v>918145.19</v>
      </c>
      <c r="P102" s="1051"/>
      <c r="Q102" s="843">
        <v>0</v>
      </c>
      <c r="R102" s="843">
        <v>0.06</v>
      </c>
      <c r="S102" s="843">
        <v>7.0000000000000007E-2</v>
      </c>
    </row>
    <row r="103" spans="1:19">
      <c r="A103" s="1081">
        <f t="shared" si="40"/>
        <v>9.2699999999999942</v>
      </c>
      <c r="B103" s="843" t="s">
        <v>1042</v>
      </c>
      <c r="C103" s="1051">
        <f t="shared" si="38"/>
        <v>-63883.57</v>
      </c>
      <c r="D103" s="1051">
        <f t="shared" si="36"/>
        <v>-63883.57</v>
      </c>
      <c r="E103" s="1051"/>
      <c r="F103" s="1051"/>
      <c r="G103" s="1051">
        <f t="shared" si="37"/>
        <v>-63884</v>
      </c>
      <c r="H103" s="1051"/>
      <c r="I103" s="1051">
        <f t="shared" si="39"/>
        <v>0</v>
      </c>
      <c r="J103" s="1051">
        <f t="shared" si="39"/>
        <v>0</v>
      </c>
      <c r="K103" s="1051">
        <f t="shared" si="39"/>
        <v>-63883.57</v>
      </c>
      <c r="L103" s="1051"/>
      <c r="M103" s="843">
        <v>0</v>
      </c>
      <c r="N103" s="843">
        <v>0</v>
      </c>
      <c r="O103" s="843">
        <v>-63883.57</v>
      </c>
      <c r="P103" s="1051"/>
      <c r="Q103" s="843">
        <v>0</v>
      </c>
      <c r="R103" s="843">
        <v>0</v>
      </c>
      <c r="S103" s="843">
        <v>-63883.57</v>
      </c>
    </row>
    <row r="104" spans="1:19">
      <c r="A104" s="1081">
        <f t="shared" si="40"/>
        <v>9.279999999999994</v>
      </c>
      <c r="B104" s="843" t="s">
        <v>1043</v>
      </c>
      <c r="C104" s="1051">
        <f t="shared" si="38"/>
        <v>-0.01</v>
      </c>
      <c r="D104" s="1051">
        <f t="shared" si="36"/>
        <v>-0.01</v>
      </c>
      <c r="E104" s="1051"/>
      <c r="F104" s="1051"/>
      <c r="G104" s="1051">
        <f t="shared" si="37"/>
        <v>0</v>
      </c>
      <c r="H104" s="1051"/>
      <c r="I104" s="1051">
        <f t="shared" si="39"/>
        <v>0</v>
      </c>
      <c r="J104" s="1051">
        <f t="shared" si="39"/>
        <v>-0.01</v>
      </c>
      <c r="K104" s="1051">
        <f t="shared" si="39"/>
        <v>0</v>
      </c>
      <c r="L104" s="1051"/>
      <c r="M104" s="843">
        <v>0</v>
      </c>
      <c r="N104" s="843">
        <v>-0.01</v>
      </c>
      <c r="O104" s="843">
        <v>0</v>
      </c>
      <c r="P104" s="1051"/>
      <c r="Q104" s="843">
        <v>0</v>
      </c>
      <c r="R104" s="843">
        <v>-0.01</v>
      </c>
      <c r="S104" s="843">
        <v>0</v>
      </c>
    </row>
    <row r="105" spans="1:19">
      <c r="A105" s="1081">
        <f t="shared" si="40"/>
        <v>9.2899999999999938</v>
      </c>
      <c r="B105" s="843" t="s">
        <v>1044</v>
      </c>
      <c r="C105" s="1051">
        <f t="shared" si="38"/>
        <v>0</v>
      </c>
      <c r="D105" s="1051">
        <f t="shared" si="36"/>
        <v>0</v>
      </c>
      <c r="E105" s="1051"/>
      <c r="F105" s="1051"/>
      <c r="G105" s="1051">
        <f t="shared" si="37"/>
        <v>0</v>
      </c>
      <c r="H105" s="1051"/>
      <c r="I105" s="1051">
        <f t="shared" si="39"/>
        <v>0</v>
      </c>
      <c r="J105" s="1051">
        <f t="shared" si="39"/>
        <v>0</v>
      </c>
      <c r="K105" s="1051">
        <f t="shared" si="39"/>
        <v>0</v>
      </c>
      <c r="L105" s="1051"/>
      <c r="M105" s="843">
        <v>0</v>
      </c>
      <c r="N105" s="843">
        <v>0</v>
      </c>
      <c r="O105" s="843">
        <v>0</v>
      </c>
      <c r="P105" s="1051"/>
      <c r="Q105" s="843">
        <v>0</v>
      </c>
      <c r="R105" s="843">
        <v>0</v>
      </c>
      <c r="S105" s="843">
        <v>0</v>
      </c>
    </row>
    <row r="106" spans="1:19">
      <c r="A106" s="1081">
        <f t="shared" si="40"/>
        <v>9.2999999999999936</v>
      </c>
      <c r="B106" s="843" t="s">
        <v>1045</v>
      </c>
      <c r="C106" s="1051">
        <f t="shared" si="38"/>
        <v>31415666.940000001</v>
      </c>
      <c r="D106" s="1051">
        <f t="shared" si="36"/>
        <v>24704407.140000001</v>
      </c>
      <c r="E106" s="1051"/>
      <c r="F106" s="1051"/>
      <c r="G106" s="1051">
        <f t="shared" si="37"/>
        <v>28060037</v>
      </c>
      <c r="H106" s="1051"/>
      <c r="I106" s="1051">
        <f t="shared" si="39"/>
        <v>0</v>
      </c>
      <c r="J106" s="1051">
        <f t="shared" si="39"/>
        <v>4622229.1500000004</v>
      </c>
      <c r="K106" s="1051">
        <f t="shared" si="39"/>
        <v>23437807.890000001</v>
      </c>
      <c r="L106" s="1051"/>
      <c r="M106" s="843">
        <v>0</v>
      </c>
      <c r="N106" s="843">
        <v>4937078.16</v>
      </c>
      <c r="O106" s="843">
        <v>26478588.780000001</v>
      </c>
      <c r="P106" s="1051"/>
      <c r="Q106" s="843">
        <v>0</v>
      </c>
      <c r="R106" s="843">
        <v>4307380.1399999997</v>
      </c>
      <c r="S106" s="843">
        <v>20397027</v>
      </c>
    </row>
    <row r="107" spans="1:19">
      <c r="A107" s="1081">
        <f t="shared" si="40"/>
        <v>9.3099999999999934</v>
      </c>
      <c r="B107" s="843" t="s">
        <v>1046</v>
      </c>
      <c r="C107" s="1051">
        <f t="shared" si="38"/>
        <v>79397.850000000006</v>
      </c>
      <c r="D107" s="1051">
        <f t="shared" si="36"/>
        <v>92484.21</v>
      </c>
      <c r="E107" s="1051"/>
      <c r="F107" s="1051"/>
      <c r="G107" s="1051">
        <f t="shared" si="37"/>
        <v>85941</v>
      </c>
      <c r="H107" s="1051"/>
      <c r="I107" s="1051">
        <f t="shared" si="39"/>
        <v>0</v>
      </c>
      <c r="J107" s="1051">
        <f>(N107+R107)/2</f>
        <v>0</v>
      </c>
      <c r="K107" s="1051">
        <f t="shared" si="39"/>
        <v>85941.03</v>
      </c>
      <c r="L107" s="1051"/>
      <c r="M107" s="843">
        <v>0</v>
      </c>
      <c r="N107" s="843">
        <v>0</v>
      </c>
      <c r="O107" s="843">
        <v>79397.850000000006</v>
      </c>
      <c r="P107" s="1051"/>
      <c r="Q107" s="843">
        <v>0</v>
      </c>
      <c r="R107" s="843"/>
      <c r="S107" s="843">
        <v>92484.21</v>
      </c>
    </row>
    <row r="108" spans="1:19">
      <c r="A108" s="1081">
        <f t="shared" si="40"/>
        <v>9.3199999999999932</v>
      </c>
      <c r="B108" s="843" t="s">
        <v>1047</v>
      </c>
      <c r="C108" s="1051">
        <f t="shared" si="38"/>
        <v>-4039857.9799999995</v>
      </c>
      <c r="D108" s="1051">
        <f t="shared" si="36"/>
        <v>-7306602.8600000003</v>
      </c>
      <c r="E108" s="1051"/>
      <c r="F108" s="1051"/>
      <c r="G108" s="1051">
        <f t="shared" si="37"/>
        <v>-5673230</v>
      </c>
      <c r="H108" s="1051"/>
      <c r="I108" s="1051">
        <f t="shared" si="39"/>
        <v>0</v>
      </c>
      <c r="J108" s="1051">
        <f>(N108+R108)/2</f>
        <v>332052.52500000002</v>
      </c>
      <c r="K108" s="1051">
        <f t="shared" si="39"/>
        <v>-6005282.9450000003</v>
      </c>
      <c r="L108" s="1051"/>
      <c r="M108" s="843">
        <v>0</v>
      </c>
      <c r="N108" s="843">
        <v>409099.95</v>
      </c>
      <c r="O108" s="843">
        <v>-4448957.93</v>
      </c>
      <c r="P108" s="1051"/>
      <c r="Q108" s="843">
        <v>0</v>
      </c>
      <c r="R108" s="843">
        <v>255005.1</v>
      </c>
      <c r="S108" s="843">
        <v>-7561607.96</v>
      </c>
    </row>
    <row r="109" spans="1:19">
      <c r="A109" s="1081">
        <f t="shared" si="40"/>
        <v>9.329999999999993</v>
      </c>
      <c r="B109" s="843" t="s">
        <v>1048</v>
      </c>
      <c r="C109" s="1051">
        <f t="shared" si="38"/>
        <v>0</v>
      </c>
      <c r="D109" s="1051">
        <f t="shared" si="36"/>
        <v>2002935.68</v>
      </c>
      <c r="E109" s="1051"/>
      <c r="F109" s="1051"/>
      <c r="G109" s="1051">
        <f t="shared" si="37"/>
        <v>1001468</v>
      </c>
      <c r="H109" s="1051"/>
      <c r="I109" s="1051">
        <f t="shared" si="39"/>
        <v>0</v>
      </c>
      <c r="J109" s="1051">
        <f t="shared" si="39"/>
        <v>0</v>
      </c>
      <c r="K109" s="1051">
        <f t="shared" si="39"/>
        <v>1001467.84</v>
      </c>
      <c r="L109" s="1051"/>
      <c r="M109" s="843">
        <v>0</v>
      </c>
      <c r="N109" s="843">
        <v>0</v>
      </c>
      <c r="O109" s="843">
        <v>0</v>
      </c>
      <c r="P109" s="1051"/>
      <c r="Q109" s="843">
        <v>0</v>
      </c>
      <c r="R109" s="843">
        <v>0</v>
      </c>
      <c r="S109" s="843">
        <v>2002935.68</v>
      </c>
    </row>
    <row r="110" spans="1:19">
      <c r="A110" s="1081">
        <f t="shared" si="40"/>
        <v>9.3399999999999928</v>
      </c>
      <c r="B110" s="843" t="s">
        <v>1049</v>
      </c>
      <c r="C110" s="1051">
        <f t="shared" si="38"/>
        <v>267036.18</v>
      </c>
      <c r="D110" s="1051">
        <f t="shared" si="36"/>
        <v>2117509.7599999998</v>
      </c>
      <c r="E110" s="1051"/>
      <c r="F110" s="1051"/>
      <c r="G110" s="1051">
        <f t="shared" si="37"/>
        <v>1192273</v>
      </c>
      <c r="H110" s="1051"/>
      <c r="I110" s="1051">
        <f t="shared" si="39"/>
        <v>0</v>
      </c>
      <c r="J110" s="1051">
        <f t="shared" si="39"/>
        <v>0</v>
      </c>
      <c r="K110" s="1051">
        <f t="shared" si="39"/>
        <v>1192272.97</v>
      </c>
      <c r="L110" s="1051"/>
      <c r="M110" s="843">
        <v>0</v>
      </c>
      <c r="N110" s="843">
        <v>0</v>
      </c>
      <c r="O110" s="843">
        <v>267036.18</v>
      </c>
      <c r="P110" s="1051"/>
      <c r="Q110" s="843">
        <v>0</v>
      </c>
      <c r="R110" s="843">
        <v>0</v>
      </c>
      <c r="S110" s="843">
        <v>2117509.7599999998</v>
      </c>
    </row>
    <row r="111" spans="1:19">
      <c r="A111" s="1081">
        <f t="shared" si="40"/>
        <v>9.3499999999999925</v>
      </c>
      <c r="B111" s="843" t="s">
        <v>1050</v>
      </c>
      <c r="C111" s="1051">
        <f t="shared" si="38"/>
        <v>35000</v>
      </c>
      <c r="D111" s="1051">
        <f t="shared" si="36"/>
        <v>0</v>
      </c>
      <c r="E111" s="1051"/>
      <c r="F111" s="1051"/>
      <c r="G111" s="1051">
        <f>ROUND(SUM(C111:F111)/2,0)</f>
        <v>17500</v>
      </c>
      <c r="H111" s="1051"/>
      <c r="I111" s="1051">
        <f t="shared" si="39"/>
        <v>0</v>
      </c>
      <c r="J111" s="1051">
        <f t="shared" si="39"/>
        <v>0</v>
      </c>
      <c r="K111" s="1051">
        <f t="shared" si="39"/>
        <v>17500</v>
      </c>
      <c r="L111" s="1051"/>
      <c r="M111" s="843">
        <v>0</v>
      </c>
      <c r="N111" s="843">
        <v>0</v>
      </c>
      <c r="O111" s="843">
        <v>35000</v>
      </c>
      <c r="P111" s="1051"/>
      <c r="Q111" s="843">
        <v>0</v>
      </c>
      <c r="R111" s="843">
        <v>0</v>
      </c>
      <c r="S111" s="843">
        <v>0</v>
      </c>
    </row>
    <row r="112" spans="1:19">
      <c r="A112" s="1081">
        <f t="shared" si="40"/>
        <v>9.3599999999999923</v>
      </c>
      <c r="B112" s="843" t="s">
        <v>1051</v>
      </c>
      <c r="C112" s="1051">
        <f t="shared" si="38"/>
        <v>0.01</v>
      </c>
      <c r="D112" s="1051">
        <f t="shared" si="36"/>
        <v>0.01</v>
      </c>
      <c r="E112" s="1051"/>
      <c r="F112" s="1051"/>
      <c r="G112" s="1051">
        <f>ROUND(SUM(C112:F112)/2,0)</f>
        <v>0</v>
      </c>
      <c r="H112" s="1051"/>
      <c r="I112" s="1051">
        <f t="shared" si="39"/>
        <v>0</v>
      </c>
      <c r="J112" s="1051">
        <f t="shared" si="39"/>
        <v>0</v>
      </c>
      <c r="K112" s="1051">
        <f t="shared" si="39"/>
        <v>0.01</v>
      </c>
      <c r="L112" s="1051"/>
      <c r="M112" s="843">
        <v>0</v>
      </c>
      <c r="N112" s="843">
        <v>0</v>
      </c>
      <c r="O112" s="843">
        <v>0.01</v>
      </c>
      <c r="P112" s="1051"/>
      <c r="Q112" s="843">
        <v>0</v>
      </c>
      <c r="R112" s="843">
        <v>0</v>
      </c>
      <c r="S112" s="843">
        <v>0.01</v>
      </c>
    </row>
    <row r="113" spans="1:19">
      <c r="A113" s="1081">
        <f t="shared" si="40"/>
        <v>9.3699999999999921</v>
      </c>
      <c r="B113" s="843" t="s">
        <v>1052</v>
      </c>
      <c r="C113" s="1051">
        <f t="shared" si="38"/>
        <v>0.01</v>
      </c>
      <c r="D113" s="1051">
        <f t="shared" si="36"/>
        <v>0.01</v>
      </c>
      <c r="E113" s="1051"/>
      <c r="F113" s="1051"/>
      <c r="G113" s="1051">
        <f t="shared" ref="G113:G152" si="47">ROUND(SUM(C113:F113)/2,0)</f>
        <v>0</v>
      </c>
      <c r="H113" s="1051"/>
      <c r="I113" s="1051">
        <f t="shared" si="39"/>
        <v>0</v>
      </c>
      <c r="J113" s="1051">
        <f t="shared" si="39"/>
        <v>0</v>
      </c>
      <c r="K113" s="1051">
        <f t="shared" si="39"/>
        <v>0.01</v>
      </c>
      <c r="L113" s="1051"/>
      <c r="M113" s="843">
        <v>0</v>
      </c>
      <c r="N113" s="843">
        <v>0</v>
      </c>
      <c r="O113" s="843">
        <v>0.01</v>
      </c>
      <c r="P113" s="1051"/>
      <c r="Q113" s="843">
        <v>0</v>
      </c>
      <c r="R113" s="843">
        <v>0</v>
      </c>
      <c r="S113" s="843">
        <v>0.01</v>
      </c>
    </row>
    <row r="114" spans="1:19">
      <c r="A114" s="1081">
        <f t="shared" si="40"/>
        <v>9.3799999999999919</v>
      </c>
      <c r="B114" s="843" t="s">
        <v>1053</v>
      </c>
      <c r="C114" s="1051">
        <f t="shared" si="38"/>
        <v>1547435.07</v>
      </c>
      <c r="D114" s="1051">
        <f t="shared" si="36"/>
        <v>446461.69</v>
      </c>
      <c r="E114" s="1051"/>
      <c r="F114" s="1051"/>
      <c r="G114" s="1051">
        <f t="shared" si="47"/>
        <v>996948</v>
      </c>
      <c r="H114" s="1051"/>
      <c r="I114" s="1051">
        <f t="shared" si="39"/>
        <v>0</v>
      </c>
      <c r="J114" s="1051">
        <f t="shared" si="39"/>
        <v>0</v>
      </c>
      <c r="K114" s="1051">
        <f t="shared" si="39"/>
        <v>996948.38</v>
      </c>
      <c r="L114" s="1051"/>
      <c r="M114" s="843">
        <v>0</v>
      </c>
      <c r="N114" s="843">
        <v>0</v>
      </c>
      <c r="O114" s="843">
        <v>1547435.07</v>
      </c>
      <c r="P114" s="1051"/>
      <c r="Q114" s="843">
        <v>0</v>
      </c>
      <c r="R114" s="843">
        <v>0</v>
      </c>
      <c r="S114" s="843">
        <v>446461.69</v>
      </c>
    </row>
    <row r="115" spans="1:19">
      <c r="A115" s="1081">
        <f t="shared" si="40"/>
        <v>9.3899999999999917</v>
      </c>
      <c r="B115" s="843" t="s">
        <v>1054</v>
      </c>
      <c r="C115" s="1051">
        <f t="shared" si="38"/>
        <v>6122067.5999999996</v>
      </c>
      <c r="D115" s="1051">
        <f t="shared" si="36"/>
        <v>3370799.44</v>
      </c>
      <c r="E115" s="1051"/>
      <c r="F115" s="1051"/>
      <c r="G115" s="1051">
        <f t="shared" si="47"/>
        <v>4746434</v>
      </c>
      <c r="H115" s="1051"/>
      <c r="I115" s="1051">
        <f t="shared" si="39"/>
        <v>0</v>
      </c>
      <c r="J115" s="1051">
        <f t="shared" si="39"/>
        <v>0</v>
      </c>
      <c r="K115" s="1051">
        <f t="shared" si="39"/>
        <v>4746433.5199999996</v>
      </c>
      <c r="L115" s="1051"/>
      <c r="M115" s="843">
        <v>0</v>
      </c>
      <c r="N115" s="843">
        <v>0</v>
      </c>
      <c r="O115" s="843">
        <v>6122067.5999999996</v>
      </c>
      <c r="P115" s="1051"/>
      <c r="Q115" s="843">
        <v>0</v>
      </c>
      <c r="R115" s="843">
        <v>0</v>
      </c>
      <c r="S115" s="843">
        <v>3370799.44</v>
      </c>
    </row>
    <row r="116" spans="1:19">
      <c r="A116" s="1081">
        <f t="shared" si="40"/>
        <v>9.3999999999999915</v>
      </c>
      <c r="B116" s="843" t="s">
        <v>1055</v>
      </c>
      <c r="C116" s="1051">
        <f t="shared" si="38"/>
        <v>0.01</v>
      </c>
      <c r="D116" s="1051">
        <f t="shared" si="36"/>
        <v>0.01</v>
      </c>
      <c r="E116" s="1051"/>
      <c r="F116" s="1051"/>
      <c r="G116" s="1051">
        <f t="shared" si="47"/>
        <v>0</v>
      </c>
      <c r="H116" s="1051"/>
      <c r="I116" s="1051">
        <f t="shared" ref="I116:K137" si="48">(M116+Q116)/2</f>
        <v>0</v>
      </c>
      <c r="J116" s="1051">
        <f t="shared" si="48"/>
        <v>0</v>
      </c>
      <c r="K116" s="1051">
        <f t="shared" si="48"/>
        <v>0.01</v>
      </c>
      <c r="L116" s="1051"/>
      <c r="M116" s="843">
        <v>0</v>
      </c>
      <c r="N116" s="843">
        <v>0</v>
      </c>
      <c r="O116" s="843">
        <v>0.01</v>
      </c>
      <c r="P116" s="1051"/>
      <c r="Q116" s="843">
        <v>0</v>
      </c>
      <c r="R116" s="843">
        <v>0</v>
      </c>
      <c r="S116" s="843">
        <v>0.01</v>
      </c>
    </row>
    <row r="117" spans="1:19">
      <c r="A117" s="1081">
        <f t="shared" si="40"/>
        <v>9.4099999999999913</v>
      </c>
      <c r="B117" s="843" t="s">
        <v>1056</v>
      </c>
      <c r="C117" s="1051">
        <f t="shared" si="38"/>
        <v>0</v>
      </c>
      <c r="D117" s="1051">
        <f t="shared" si="36"/>
        <v>0</v>
      </c>
      <c r="E117" s="1051"/>
      <c r="F117" s="1051"/>
      <c r="G117" s="1051">
        <f t="shared" si="47"/>
        <v>0</v>
      </c>
      <c r="H117" s="1051"/>
      <c r="I117" s="1051">
        <f t="shared" si="48"/>
        <v>0</v>
      </c>
      <c r="J117" s="1051">
        <f t="shared" si="48"/>
        <v>0</v>
      </c>
      <c r="K117" s="1051">
        <f t="shared" si="48"/>
        <v>0</v>
      </c>
      <c r="L117" s="1051"/>
      <c r="M117" s="843">
        <v>0</v>
      </c>
      <c r="N117" s="843">
        <v>0</v>
      </c>
      <c r="O117" s="843">
        <v>0</v>
      </c>
      <c r="P117" s="1051"/>
      <c r="Q117" s="843">
        <v>0</v>
      </c>
      <c r="R117" s="843">
        <v>0</v>
      </c>
      <c r="S117" s="843">
        <v>0</v>
      </c>
    </row>
    <row r="118" spans="1:19">
      <c r="A118" s="1081">
        <f t="shared" si="40"/>
        <v>9.419999999999991</v>
      </c>
      <c r="B118" s="843" t="s">
        <v>1057</v>
      </c>
      <c r="C118" s="1051">
        <f t="shared" si="38"/>
        <v>672014.61</v>
      </c>
      <c r="D118" s="1051">
        <f t="shared" si="36"/>
        <v>7436.01</v>
      </c>
      <c r="E118" s="1051"/>
      <c r="F118" s="1051"/>
      <c r="G118" s="1051">
        <f t="shared" si="47"/>
        <v>339725</v>
      </c>
      <c r="H118" s="1051"/>
      <c r="I118" s="1051">
        <f t="shared" si="48"/>
        <v>0</v>
      </c>
      <c r="J118" s="1051">
        <f t="shared" si="48"/>
        <v>0</v>
      </c>
      <c r="K118" s="1051">
        <f t="shared" si="48"/>
        <v>339725.31</v>
      </c>
      <c r="L118" s="1051"/>
      <c r="M118" s="843">
        <v>0</v>
      </c>
      <c r="N118" s="843">
        <v>0</v>
      </c>
      <c r="O118" s="843">
        <v>672014.61</v>
      </c>
      <c r="P118" s="1051"/>
      <c r="Q118" s="843">
        <v>0</v>
      </c>
      <c r="R118" s="843">
        <v>0</v>
      </c>
      <c r="S118" s="843">
        <v>7436.01</v>
      </c>
    </row>
    <row r="119" spans="1:19">
      <c r="A119" s="1081">
        <f t="shared" si="40"/>
        <v>9.4299999999999908</v>
      </c>
      <c r="B119" s="843" t="s">
        <v>1058</v>
      </c>
      <c r="C119" s="1051">
        <f t="shared" si="38"/>
        <v>183156.36</v>
      </c>
      <c r="D119" s="1051">
        <f t="shared" ref="D119:D144" si="49">SUM(Q119:S119)</f>
        <v>91693.88</v>
      </c>
      <c r="E119" s="1051"/>
      <c r="F119" s="1051"/>
      <c r="G119" s="1051">
        <f t="shared" si="47"/>
        <v>137425</v>
      </c>
      <c r="H119" s="1051"/>
      <c r="I119" s="1051">
        <f t="shared" si="48"/>
        <v>0</v>
      </c>
      <c r="J119" s="1051">
        <f t="shared" si="48"/>
        <v>0</v>
      </c>
      <c r="K119" s="1051">
        <f t="shared" si="48"/>
        <v>137425.12</v>
      </c>
      <c r="L119" s="1051"/>
      <c r="M119" s="843">
        <v>0</v>
      </c>
      <c r="N119" s="843">
        <v>0</v>
      </c>
      <c r="O119" s="843">
        <v>183156.36</v>
      </c>
      <c r="P119" s="1051"/>
      <c r="Q119" s="843">
        <v>0</v>
      </c>
      <c r="R119" s="843">
        <v>0</v>
      </c>
      <c r="S119" s="843">
        <v>91693.88</v>
      </c>
    </row>
    <row r="120" spans="1:19">
      <c r="A120" s="1081">
        <f t="shared" si="40"/>
        <v>9.4399999999999906</v>
      </c>
      <c r="B120" s="843" t="s">
        <v>1059</v>
      </c>
      <c r="C120" s="1051">
        <f t="shared" ref="C120:C137" si="50">SUM(M120:O120)</f>
        <v>153905.69</v>
      </c>
      <c r="D120" s="1051">
        <f t="shared" si="49"/>
        <v>176674.93</v>
      </c>
      <c r="E120" s="1051"/>
      <c r="F120" s="1051"/>
      <c r="G120" s="1051">
        <f t="shared" si="47"/>
        <v>165290</v>
      </c>
      <c r="H120" s="1051"/>
      <c r="I120" s="1051">
        <f t="shared" si="48"/>
        <v>0</v>
      </c>
      <c r="J120" s="1051">
        <f t="shared" si="48"/>
        <v>0</v>
      </c>
      <c r="K120" s="1051">
        <f t="shared" si="48"/>
        <v>165290.31</v>
      </c>
      <c r="L120" s="1051"/>
      <c r="M120" s="843">
        <v>0</v>
      </c>
      <c r="N120" s="843">
        <v>0</v>
      </c>
      <c r="O120" s="843">
        <v>153905.69</v>
      </c>
      <c r="P120" s="1051"/>
      <c r="Q120" s="843">
        <v>0</v>
      </c>
      <c r="R120" s="843">
        <v>0</v>
      </c>
      <c r="S120" s="843">
        <v>176674.93</v>
      </c>
    </row>
    <row r="121" spans="1:19">
      <c r="A121" s="1081">
        <f t="shared" si="40"/>
        <v>9.4499999999999904</v>
      </c>
      <c r="B121" s="843" t="s">
        <v>1060</v>
      </c>
      <c r="C121" s="1051">
        <f t="shared" si="50"/>
        <v>3332978.48</v>
      </c>
      <c r="D121" s="1051">
        <f t="shared" si="49"/>
        <v>5103517.1500000004</v>
      </c>
      <c r="E121" s="1051"/>
      <c r="F121" s="1051"/>
      <c r="G121" s="1051">
        <f t="shared" si="47"/>
        <v>4218248</v>
      </c>
      <c r="H121" s="1051"/>
      <c r="I121" s="1051">
        <f t="shared" si="48"/>
        <v>0</v>
      </c>
      <c r="J121" s="1051">
        <f t="shared" si="48"/>
        <v>0</v>
      </c>
      <c r="K121" s="1051">
        <f t="shared" si="48"/>
        <v>4218247.8150000004</v>
      </c>
      <c r="L121" s="1051"/>
      <c r="M121" s="843">
        <v>0</v>
      </c>
      <c r="N121" s="843">
        <v>0</v>
      </c>
      <c r="O121" s="843">
        <v>3332978.48</v>
      </c>
      <c r="P121" s="1051"/>
      <c r="Q121" s="843">
        <v>0</v>
      </c>
      <c r="R121" s="843">
        <v>0</v>
      </c>
      <c r="S121" s="843">
        <v>5103517.1500000004</v>
      </c>
    </row>
    <row r="122" spans="1:19">
      <c r="A122" s="1081">
        <f t="shared" si="40"/>
        <v>9.4599999999999902</v>
      </c>
      <c r="B122" s="843" t="s">
        <v>1061</v>
      </c>
      <c r="C122" s="1051">
        <f t="shared" si="50"/>
        <v>2588371.13</v>
      </c>
      <c r="D122" s="1051">
        <f t="shared" si="49"/>
        <v>1093864.8899999999</v>
      </c>
      <c r="E122" s="1051"/>
      <c r="F122" s="1051"/>
      <c r="G122" s="1051">
        <f t="shared" si="47"/>
        <v>1841118</v>
      </c>
      <c r="H122" s="1051"/>
      <c r="I122" s="1051">
        <f t="shared" si="48"/>
        <v>0</v>
      </c>
      <c r="J122" s="1051">
        <f t="shared" si="48"/>
        <v>1841118.0099999998</v>
      </c>
      <c r="K122" s="1051">
        <f t="shared" si="48"/>
        <v>0</v>
      </c>
      <c r="L122" s="1051"/>
      <c r="M122" s="843">
        <v>0</v>
      </c>
      <c r="N122" s="843">
        <v>2588371.13</v>
      </c>
      <c r="O122" s="843">
        <v>0</v>
      </c>
      <c r="P122" s="1051"/>
      <c r="Q122" s="843">
        <v>0</v>
      </c>
      <c r="R122" s="843">
        <v>1093864.8899999999</v>
      </c>
      <c r="S122" s="843">
        <v>0</v>
      </c>
    </row>
    <row r="123" spans="1:19">
      <c r="A123" s="1081">
        <f t="shared" si="40"/>
        <v>9.46999999999999</v>
      </c>
      <c r="B123" s="843" t="s">
        <v>1062</v>
      </c>
      <c r="C123" s="1051">
        <f t="shared" si="50"/>
        <v>681330.08</v>
      </c>
      <c r="D123" s="1051">
        <f t="shared" si="49"/>
        <v>0</v>
      </c>
      <c r="E123" s="1051"/>
      <c r="F123" s="1051"/>
      <c r="G123" s="1051">
        <f t="shared" si="47"/>
        <v>340665</v>
      </c>
      <c r="H123" s="1051"/>
      <c r="I123" s="1051">
        <f t="shared" si="48"/>
        <v>0</v>
      </c>
      <c r="J123" s="1051">
        <f t="shared" si="48"/>
        <v>0</v>
      </c>
      <c r="K123" s="1051">
        <f t="shared" si="48"/>
        <v>340665.04</v>
      </c>
      <c r="L123" s="1051"/>
      <c r="M123" s="843">
        <v>0</v>
      </c>
      <c r="N123" s="843">
        <v>0</v>
      </c>
      <c r="O123" s="843">
        <v>681330.08</v>
      </c>
      <c r="P123" s="1051"/>
      <c r="Q123" s="843">
        <v>0</v>
      </c>
      <c r="R123" s="843">
        <v>0</v>
      </c>
      <c r="S123" s="843">
        <v>0</v>
      </c>
    </row>
    <row r="124" spans="1:19">
      <c r="A124" s="1081">
        <f t="shared" si="40"/>
        <v>9.4799999999999898</v>
      </c>
      <c r="B124" s="843" t="s">
        <v>1063</v>
      </c>
      <c r="C124" s="1051">
        <f>SUM(M124:O124)</f>
        <v>4025225.87</v>
      </c>
      <c r="D124" s="1051">
        <f t="shared" si="49"/>
        <v>4051931.73</v>
      </c>
      <c r="E124" s="1051"/>
      <c r="F124" s="1051"/>
      <c r="G124" s="1051">
        <f t="shared" si="47"/>
        <v>4038579</v>
      </c>
      <c r="H124" s="1051"/>
      <c r="I124" s="1051">
        <f t="shared" si="48"/>
        <v>0</v>
      </c>
      <c r="J124" s="1051">
        <f t="shared" si="48"/>
        <v>0</v>
      </c>
      <c r="K124" s="1051">
        <f t="shared" si="48"/>
        <v>4038578.8</v>
      </c>
      <c r="L124" s="1051"/>
      <c r="M124" s="843">
        <v>0</v>
      </c>
      <c r="N124" s="843">
        <v>0</v>
      </c>
      <c r="O124" s="843">
        <v>4025225.87</v>
      </c>
      <c r="P124" s="1051"/>
      <c r="Q124" s="843">
        <v>0</v>
      </c>
      <c r="R124" s="843">
        <v>0</v>
      </c>
      <c r="S124" s="843">
        <v>4051931.73</v>
      </c>
    </row>
    <row r="125" spans="1:19">
      <c r="A125" s="1081">
        <f t="shared" si="40"/>
        <v>9.4899999999999896</v>
      </c>
      <c r="B125" s="843" t="s">
        <v>1064</v>
      </c>
      <c r="C125" s="1051">
        <f t="shared" si="50"/>
        <v>5754107.8799999999</v>
      </c>
      <c r="D125" s="1051">
        <f t="shared" si="49"/>
        <v>0.21</v>
      </c>
      <c r="E125" s="1051"/>
      <c r="F125" s="1051"/>
      <c r="G125" s="1051">
        <f t="shared" si="47"/>
        <v>2877054</v>
      </c>
      <c r="H125" s="1051"/>
      <c r="I125" s="1051">
        <f t="shared" si="48"/>
        <v>0</v>
      </c>
      <c r="J125" s="1051">
        <f t="shared" si="48"/>
        <v>0</v>
      </c>
      <c r="K125" s="1051">
        <f t="shared" si="48"/>
        <v>2877054.0449999999</v>
      </c>
      <c r="L125" s="1051"/>
      <c r="M125" s="843">
        <v>0</v>
      </c>
      <c r="N125" s="843">
        <v>0</v>
      </c>
      <c r="O125" s="843">
        <v>5754107.8799999999</v>
      </c>
      <c r="P125" s="1051"/>
      <c r="Q125" s="843">
        <v>0</v>
      </c>
      <c r="R125" s="843">
        <v>0</v>
      </c>
      <c r="S125" s="843">
        <v>0.21</v>
      </c>
    </row>
    <row r="126" spans="1:19">
      <c r="A126" s="1081">
        <f t="shared" si="40"/>
        <v>9.4999999999999893</v>
      </c>
      <c r="B126" s="843" t="s">
        <v>1065</v>
      </c>
      <c r="C126" s="1051">
        <f>SUM(M126:O126)</f>
        <v>-0.01</v>
      </c>
      <c r="D126" s="1051">
        <f t="shared" si="49"/>
        <v>-0.01</v>
      </c>
      <c r="E126" s="1051"/>
      <c r="F126" s="1051"/>
      <c r="G126" s="1051">
        <v>0</v>
      </c>
      <c r="H126" s="1051"/>
      <c r="I126" s="1051">
        <f t="shared" si="48"/>
        <v>0</v>
      </c>
      <c r="J126" s="1051">
        <f t="shared" si="48"/>
        <v>0</v>
      </c>
      <c r="K126" s="1051">
        <f t="shared" si="48"/>
        <v>-0.01</v>
      </c>
      <c r="L126" s="1051"/>
      <c r="M126" s="843">
        <v>0</v>
      </c>
      <c r="N126" s="843">
        <v>0</v>
      </c>
      <c r="O126" s="843">
        <v>-0.01</v>
      </c>
      <c r="P126" s="1051"/>
      <c r="Q126" s="843">
        <v>0</v>
      </c>
      <c r="R126" s="843">
        <v>0</v>
      </c>
      <c r="S126" s="843">
        <v>-0.01</v>
      </c>
    </row>
    <row r="127" spans="1:19">
      <c r="A127" s="1081">
        <f t="shared" si="40"/>
        <v>9.5099999999999891</v>
      </c>
      <c r="B127" s="843" t="s">
        <v>1306</v>
      </c>
      <c r="C127" s="1051">
        <f>SUM(M127:O127)</f>
        <v>0</v>
      </c>
      <c r="D127" s="1051">
        <f t="shared" si="49"/>
        <v>1581880.86</v>
      </c>
      <c r="E127" s="1051"/>
      <c r="F127" s="1051"/>
      <c r="G127" s="1051">
        <f t="shared" si="47"/>
        <v>790940</v>
      </c>
      <c r="H127" s="1051"/>
      <c r="I127" s="1051">
        <f t="shared" si="48"/>
        <v>0</v>
      </c>
      <c r="J127" s="1051">
        <f t="shared" si="48"/>
        <v>0</v>
      </c>
      <c r="K127" s="1051">
        <f t="shared" si="48"/>
        <v>790940.43</v>
      </c>
      <c r="L127" s="1051"/>
      <c r="M127" s="843">
        <v>0</v>
      </c>
      <c r="N127" s="843">
        <v>0</v>
      </c>
      <c r="O127" s="843">
        <v>0</v>
      </c>
      <c r="P127" s="1051"/>
      <c r="Q127" s="843">
        <v>0</v>
      </c>
      <c r="R127" s="843">
        <v>0</v>
      </c>
      <c r="S127" s="843">
        <v>1581880.86</v>
      </c>
    </row>
    <row r="128" spans="1:19">
      <c r="A128" s="1081">
        <f t="shared" si="40"/>
        <v>9.5199999999999889</v>
      </c>
      <c r="B128" s="843" t="s">
        <v>1167</v>
      </c>
      <c r="C128" s="1051">
        <f t="shared" ref="C128:C129" si="51">SUM(M128:O128)</f>
        <v>755734.56</v>
      </c>
      <c r="D128" s="1051">
        <f t="shared" ref="D128:D129" si="52">SUM(Q128:S128)</f>
        <v>204903.3</v>
      </c>
      <c r="E128" s="1051"/>
      <c r="F128" s="1051"/>
      <c r="G128" s="1051">
        <f t="shared" ref="G128:G129" si="53">ROUND(SUM(C128:F128)/2,0)</f>
        <v>480319</v>
      </c>
      <c r="H128" s="1051"/>
      <c r="I128" s="1051">
        <f t="shared" ref="I128:I129" si="54">(M128+Q128)/2</f>
        <v>0</v>
      </c>
      <c r="J128" s="1051">
        <f t="shared" ref="J128:J129" si="55">(N128+R128)/2</f>
        <v>0</v>
      </c>
      <c r="K128" s="1051">
        <f t="shared" ref="K128:K129" si="56">(O128+S128)/2</f>
        <v>480318.93000000005</v>
      </c>
      <c r="L128" s="1051"/>
      <c r="M128" s="843"/>
      <c r="N128" s="843"/>
      <c r="O128" s="843">
        <v>755734.56</v>
      </c>
      <c r="P128" s="1051"/>
      <c r="Q128" s="843">
        <v>0</v>
      </c>
      <c r="R128" s="843">
        <v>0</v>
      </c>
      <c r="S128" s="843">
        <v>204903.3</v>
      </c>
    </row>
    <row r="129" spans="1:19">
      <c r="A129" s="1081">
        <f t="shared" si="40"/>
        <v>9.5299999999999887</v>
      </c>
      <c r="B129" s="843" t="s">
        <v>1066</v>
      </c>
      <c r="C129" s="1051">
        <f t="shared" si="51"/>
        <v>173137.59</v>
      </c>
      <c r="D129" s="1051">
        <f t="shared" si="52"/>
        <v>52412.93</v>
      </c>
      <c r="E129" s="1051"/>
      <c r="F129" s="1051"/>
      <c r="G129" s="1051">
        <f t="shared" si="53"/>
        <v>112775</v>
      </c>
      <c r="H129" s="1051"/>
      <c r="I129" s="1051">
        <f t="shared" si="54"/>
        <v>0</v>
      </c>
      <c r="J129" s="1051">
        <f t="shared" si="55"/>
        <v>0</v>
      </c>
      <c r="K129" s="1051">
        <f t="shared" si="56"/>
        <v>112775.26</v>
      </c>
      <c r="L129" s="1051"/>
      <c r="M129" s="843">
        <v>0</v>
      </c>
      <c r="N129" s="843">
        <v>0</v>
      </c>
      <c r="O129" s="843">
        <v>173137.59</v>
      </c>
      <c r="P129" s="1051"/>
      <c r="Q129" s="843">
        <v>0</v>
      </c>
      <c r="R129" s="843">
        <v>0</v>
      </c>
      <c r="S129" s="843">
        <v>52412.93</v>
      </c>
    </row>
    <row r="130" spans="1:19">
      <c r="A130" s="1081">
        <f t="shared" si="40"/>
        <v>9.5399999999999885</v>
      </c>
      <c r="B130" s="843" t="s">
        <v>1067</v>
      </c>
      <c r="C130" s="1051">
        <f>SUM(M130:O130)</f>
        <v>461024.83</v>
      </c>
      <c r="D130" s="1051">
        <f t="shared" si="49"/>
        <v>-765002.63</v>
      </c>
      <c r="E130" s="1051"/>
      <c r="F130" s="1051"/>
      <c r="G130" s="1051">
        <f t="shared" si="47"/>
        <v>-151989</v>
      </c>
      <c r="H130" s="1051"/>
      <c r="I130" s="1051">
        <f t="shared" si="48"/>
        <v>0</v>
      </c>
      <c r="J130" s="1051">
        <f t="shared" si="48"/>
        <v>266261.17499999999</v>
      </c>
      <c r="K130" s="1051">
        <f t="shared" si="48"/>
        <v>-418250.07499999995</v>
      </c>
      <c r="L130" s="1051"/>
      <c r="M130" s="843">
        <v>0</v>
      </c>
      <c r="N130" s="843">
        <v>296447.52</v>
      </c>
      <c r="O130" s="843">
        <v>164577.31</v>
      </c>
      <c r="P130" s="1051"/>
      <c r="Q130" s="843">
        <v>0</v>
      </c>
      <c r="R130" s="843">
        <v>236074.83</v>
      </c>
      <c r="S130" s="843">
        <v>-1001077.46</v>
      </c>
    </row>
    <row r="131" spans="1:19">
      <c r="A131" s="1081">
        <f t="shared" si="40"/>
        <v>9.5499999999999883</v>
      </c>
      <c r="B131" s="843" t="s">
        <v>1068</v>
      </c>
      <c r="C131" s="1051">
        <f t="shared" si="50"/>
        <v>27433001.399999999</v>
      </c>
      <c r="D131" s="1051">
        <f t="shared" si="49"/>
        <v>23991548.699999999</v>
      </c>
      <c r="E131" s="1051"/>
      <c r="F131" s="1051"/>
      <c r="G131" s="1051">
        <f t="shared" si="47"/>
        <v>25712275</v>
      </c>
      <c r="H131" s="1051"/>
      <c r="I131" s="1051">
        <f t="shared" si="48"/>
        <v>0</v>
      </c>
      <c r="J131" s="1051">
        <f t="shared" si="48"/>
        <v>4140493.91</v>
      </c>
      <c r="K131" s="1051">
        <f t="shared" si="48"/>
        <v>21571781.140000001</v>
      </c>
      <c r="L131" s="1051"/>
      <c r="M131" s="843">
        <v>0</v>
      </c>
      <c r="N131" s="843">
        <v>4397543.57</v>
      </c>
      <c r="O131" s="843">
        <v>23035457.829999998</v>
      </c>
      <c r="P131" s="1051"/>
      <c r="Q131" s="843">
        <v>0</v>
      </c>
      <c r="R131" s="843">
        <v>3883444.25</v>
      </c>
      <c r="S131" s="843">
        <v>20108104.449999999</v>
      </c>
    </row>
    <row r="132" spans="1:19">
      <c r="A132" s="1081">
        <f t="shared" si="40"/>
        <v>9.5599999999999881</v>
      </c>
      <c r="B132" s="843" t="s">
        <v>1069</v>
      </c>
      <c r="C132" s="1051">
        <f t="shared" si="50"/>
        <v>843012.5</v>
      </c>
      <c r="D132" s="1051">
        <f t="shared" si="49"/>
        <v>639351.46</v>
      </c>
      <c r="E132" s="1051"/>
      <c r="F132" s="1051"/>
      <c r="G132" s="1051">
        <f t="shared" si="47"/>
        <v>741182</v>
      </c>
      <c r="H132" s="1051"/>
      <c r="I132" s="1051">
        <f t="shared" si="48"/>
        <v>0</v>
      </c>
      <c r="J132" s="1051">
        <f t="shared" si="48"/>
        <v>146089.17499999999</v>
      </c>
      <c r="K132" s="1051">
        <f t="shared" si="48"/>
        <v>595092.80499999993</v>
      </c>
      <c r="L132" s="1051"/>
      <c r="M132" s="843">
        <v>0</v>
      </c>
      <c r="N132" s="843">
        <v>159152.74</v>
      </c>
      <c r="O132" s="843">
        <v>683859.76</v>
      </c>
      <c r="P132" s="1051"/>
      <c r="Q132" s="843">
        <v>0</v>
      </c>
      <c r="R132" s="843">
        <v>133025.60999999999</v>
      </c>
      <c r="S132" s="843">
        <v>506325.85</v>
      </c>
    </row>
    <row r="133" spans="1:19">
      <c r="A133" s="1081">
        <f t="shared" si="40"/>
        <v>9.5699999999999878</v>
      </c>
      <c r="B133" s="843" t="s">
        <v>1070</v>
      </c>
      <c r="C133" s="1051">
        <f t="shared" si="50"/>
        <v>0</v>
      </c>
      <c r="D133" s="1051">
        <f t="shared" si="49"/>
        <v>0</v>
      </c>
      <c r="E133" s="1051"/>
      <c r="F133" s="1051"/>
      <c r="G133" s="1051">
        <f t="shared" si="47"/>
        <v>0</v>
      </c>
      <c r="H133" s="1051"/>
      <c r="I133" s="1051">
        <f t="shared" si="48"/>
        <v>0</v>
      </c>
      <c r="J133" s="1051">
        <f t="shared" si="48"/>
        <v>0</v>
      </c>
      <c r="K133" s="1051">
        <f t="shared" si="48"/>
        <v>0</v>
      </c>
      <c r="L133" s="1051"/>
      <c r="M133" s="843">
        <v>0</v>
      </c>
      <c r="N133" s="843">
        <v>0</v>
      </c>
      <c r="O133" s="843">
        <v>0</v>
      </c>
      <c r="P133" s="1051"/>
      <c r="Q133" s="843">
        <v>0</v>
      </c>
      <c r="R133" s="843">
        <v>0</v>
      </c>
      <c r="S133" s="843">
        <v>0</v>
      </c>
    </row>
    <row r="134" spans="1:19">
      <c r="A134" s="1081">
        <f t="shared" si="40"/>
        <v>9.5799999999999876</v>
      </c>
      <c r="B134" s="843" t="s">
        <v>1071</v>
      </c>
      <c r="C134" s="1051">
        <f t="shared" si="50"/>
        <v>-4658813.18</v>
      </c>
      <c r="D134" s="1051">
        <f t="shared" si="49"/>
        <v>-4658813.18</v>
      </c>
      <c r="E134" s="1051"/>
      <c r="F134" s="1051"/>
      <c r="G134" s="1051">
        <f t="shared" si="47"/>
        <v>-4658813</v>
      </c>
      <c r="H134" s="1051"/>
      <c r="I134" s="1051">
        <f t="shared" si="48"/>
        <v>0</v>
      </c>
      <c r="J134" s="1051">
        <f t="shared" si="48"/>
        <v>-569022.01</v>
      </c>
      <c r="K134" s="1051">
        <f t="shared" si="48"/>
        <v>-4089791.17</v>
      </c>
      <c r="L134" s="1051"/>
      <c r="M134" s="843">
        <v>0</v>
      </c>
      <c r="N134" s="843">
        <v>-569022.01</v>
      </c>
      <c r="O134" s="843">
        <v>-4089791.17</v>
      </c>
      <c r="P134" s="1051"/>
      <c r="Q134" s="843">
        <v>0</v>
      </c>
      <c r="R134" s="843">
        <v>-569022.01</v>
      </c>
      <c r="S134" s="843">
        <v>-4089791.17</v>
      </c>
    </row>
    <row r="135" spans="1:19">
      <c r="A135" s="1081">
        <f t="shared" si="40"/>
        <v>9.5899999999999874</v>
      </c>
      <c r="B135" s="843" t="s">
        <v>1072</v>
      </c>
      <c r="C135" s="1051">
        <f t="shared" si="50"/>
        <v>0</v>
      </c>
      <c r="D135" s="1051">
        <f t="shared" si="49"/>
        <v>0</v>
      </c>
      <c r="E135" s="1051"/>
      <c r="F135" s="1051"/>
      <c r="G135" s="1051">
        <f t="shared" si="47"/>
        <v>0</v>
      </c>
      <c r="H135" s="1051"/>
      <c r="I135" s="1051">
        <f t="shared" si="48"/>
        <v>0</v>
      </c>
      <c r="J135" s="1051">
        <f t="shared" si="48"/>
        <v>0</v>
      </c>
      <c r="K135" s="1051">
        <f t="shared" si="48"/>
        <v>0</v>
      </c>
      <c r="L135" s="1051"/>
      <c r="M135" s="843">
        <v>0</v>
      </c>
      <c r="N135" s="843">
        <v>0</v>
      </c>
      <c r="O135" s="843">
        <v>0</v>
      </c>
      <c r="P135" s="1051"/>
      <c r="Q135" s="843">
        <v>0</v>
      </c>
      <c r="R135" s="843">
        <v>0</v>
      </c>
      <c r="S135" s="843">
        <v>0</v>
      </c>
    </row>
    <row r="136" spans="1:19">
      <c r="A136" s="1081">
        <f t="shared" si="40"/>
        <v>9.5999999999999872</v>
      </c>
      <c r="B136" s="843" t="s">
        <v>1073</v>
      </c>
      <c r="C136" s="1051">
        <f t="shared" si="50"/>
        <v>0</v>
      </c>
      <c r="D136" s="1051">
        <f t="shared" si="49"/>
        <v>0</v>
      </c>
      <c r="E136" s="1051"/>
      <c r="F136" s="1051"/>
      <c r="G136" s="1051">
        <f t="shared" si="47"/>
        <v>0</v>
      </c>
      <c r="H136" s="1051"/>
      <c r="I136" s="1051">
        <f t="shared" si="48"/>
        <v>0</v>
      </c>
      <c r="J136" s="1051">
        <f t="shared" si="48"/>
        <v>0</v>
      </c>
      <c r="K136" s="1051">
        <f t="shared" si="48"/>
        <v>0</v>
      </c>
      <c r="L136" s="1051"/>
      <c r="M136" s="843">
        <v>0</v>
      </c>
      <c r="N136" s="843">
        <v>0</v>
      </c>
      <c r="O136" s="843">
        <v>0</v>
      </c>
      <c r="P136" s="1051"/>
      <c r="Q136" s="843">
        <v>0</v>
      </c>
      <c r="R136" s="843">
        <v>0</v>
      </c>
      <c r="S136" s="843">
        <v>0</v>
      </c>
    </row>
    <row r="137" spans="1:19">
      <c r="A137" s="1081">
        <f t="shared" si="40"/>
        <v>9.609999999999987</v>
      </c>
      <c r="B137" s="843" t="s">
        <v>1074</v>
      </c>
      <c r="C137" s="1051">
        <f t="shared" si="50"/>
        <v>0</v>
      </c>
      <c r="D137" s="1051">
        <f t="shared" si="49"/>
        <v>0</v>
      </c>
      <c r="E137" s="1051"/>
      <c r="F137" s="1051"/>
      <c r="G137" s="1051">
        <f t="shared" si="47"/>
        <v>0</v>
      </c>
      <c r="H137" s="1051"/>
      <c r="I137" s="1051">
        <f t="shared" si="48"/>
        <v>0</v>
      </c>
      <c r="J137" s="1051">
        <f t="shared" si="48"/>
        <v>0</v>
      </c>
      <c r="K137" s="1051">
        <f t="shared" si="48"/>
        <v>0</v>
      </c>
      <c r="L137" s="1051"/>
      <c r="M137" s="843">
        <v>0</v>
      </c>
      <c r="N137" s="843">
        <v>0</v>
      </c>
      <c r="O137" s="843">
        <v>0</v>
      </c>
      <c r="P137" s="1051"/>
      <c r="Q137" s="843">
        <v>0</v>
      </c>
      <c r="R137" s="843">
        <v>0</v>
      </c>
      <c r="S137" s="843">
        <v>0</v>
      </c>
    </row>
    <row r="138" spans="1:19">
      <c r="A138" s="1081">
        <f t="shared" si="40"/>
        <v>9.6199999999999868</v>
      </c>
      <c r="B138" s="843" t="s">
        <v>1075</v>
      </c>
      <c r="C138" s="1051">
        <f>SUM(M138:O138)</f>
        <v>867050.87000000011</v>
      </c>
      <c r="D138" s="1051">
        <f t="shared" si="49"/>
        <v>650287.71</v>
      </c>
      <c r="E138" s="1051"/>
      <c r="F138" s="1051"/>
      <c r="G138" s="1051">
        <f t="shared" si="47"/>
        <v>758669</v>
      </c>
      <c r="H138" s="1051"/>
      <c r="I138" s="1051">
        <f t="shared" ref="I138:K152" si="57">(M138+Q138)/2</f>
        <v>0</v>
      </c>
      <c r="J138" s="1051">
        <f t="shared" si="57"/>
        <v>99912.920000000013</v>
      </c>
      <c r="K138" s="1051">
        <f t="shared" si="57"/>
        <v>658756.37</v>
      </c>
      <c r="L138" s="1051"/>
      <c r="M138" s="843">
        <v>0</v>
      </c>
      <c r="N138" s="843">
        <v>114186.32</v>
      </c>
      <c r="O138" s="843">
        <v>752864.55</v>
      </c>
      <c r="P138" s="1051"/>
      <c r="Q138" s="843">
        <v>0</v>
      </c>
      <c r="R138" s="843">
        <v>85639.52</v>
      </c>
      <c r="S138" s="843">
        <v>564648.18999999994</v>
      </c>
    </row>
    <row r="139" spans="1:19">
      <c r="A139" s="1081">
        <f t="shared" si="40"/>
        <v>9.6299999999999866</v>
      </c>
      <c r="B139" s="843" t="s">
        <v>1266</v>
      </c>
      <c r="C139" s="1051">
        <f>SUM(M139:O139)</f>
        <v>93824.01</v>
      </c>
      <c r="D139" s="1051">
        <f t="shared" si="49"/>
        <v>101132.01</v>
      </c>
      <c r="E139" s="1051"/>
      <c r="F139" s="1051"/>
      <c r="G139" s="1051">
        <f t="shared" si="47"/>
        <v>97478</v>
      </c>
      <c r="H139" s="1051"/>
      <c r="I139" s="1051">
        <f t="shared" si="57"/>
        <v>0</v>
      </c>
      <c r="J139" s="1051">
        <f t="shared" si="57"/>
        <v>0</v>
      </c>
      <c r="K139" s="1051">
        <f t="shared" si="57"/>
        <v>97478.01</v>
      </c>
      <c r="L139" s="1051"/>
      <c r="M139" s="843">
        <v>0</v>
      </c>
      <c r="N139" s="843">
        <v>0</v>
      </c>
      <c r="O139" s="843">
        <v>93824.01</v>
      </c>
      <c r="P139" s="1051"/>
      <c r="Q139" s="843">
        <v>0</v>
      </c>
      <c r="R139" s="843">
        <v>0</v>
      </c>
      <c r="S139" s="843">
        <v>101132.01</v>
      </c>
    </row>
    <row r="140" spans="1:19">
      <c r="A140" s="1081">
        <f t="shared" si="40"/>
        <v>9.6399999999999864</v>
      </c>
      <c r="B140" s="843" t="s">
        <v>1076</v>
      </c>
      <c r="C140" s="1051">
        <f>SUM(M140:O140)</f>
        <v>1396247.8399999999</v>
      </c>
      <c r="D140" s="1051">
        <f t="shared" si="49"/>
        <v>1293942.98</v>
      </c>
      <c r="E140" s="1051"/>
      <c r="F140" s="1051"/>
      <c r="G140" s="1051">
        <f t="shared" si="47"/>
        <v>1345095</v>
      </c>
      <c r="H140" s="1051"/>
      <c r="I140" s="1051">
        <f t="shared" si="57"/>
        <v>0</v>
      </c>
      <c r="J140" s="1051">
        <f t="shared" si="57"/>
        <v>70208.385000000009</v>
      </c>
      <c r="K140" s="1051">
        <f t="shared" si="57"/>
        <v>1274887.0249999999</v>
      </c>
      <c r="L140" s="1051"/>
      <c r="M140" s="843">
        <v>0</v>
      </c>
      <c r="N140" s="843">
        <v>71320.44</v>
      </c>
      <c r="O140" s="843">
        <v>1324927.3999999999</v>
      </c>
      <c r="P140" s="1051"/>
      <c r="Q140" s="843">
        <v>0</v>
      </c>
      <c r="R140" s="843">
        <v>69096.33</v>
      </c>
      <c r="S140" s="843">
        <v>1224846.6499999999</v>
      </c>
    </row>
    <row r="141" spans="1:19">
      <c r="A141" s="1081">
        <f t="shared" si="40"/>
        <v>9.6499999999999861</v>
      </c>
      <c r="B141" s="843" t="s">
        <v>1268</v>
      </c>
      <c r="C141" s="1051">
        <f>SUM(M141:O141)</f>
        <v>-13925050</v>
      </c>
      <c r="D141" s="1051">
        <f t="shared" ref="D141" si="58">SUM(Q141:S141)</f>
        <v>0</v>
      </c>
      <c r="E141" s="1051"/>
      <c r="F141" s="1051"/>
      <c r="G141" s="1051">
        <f t="shared" ref="G141" si="59">ROUND(SUM(C141:F141)/2,0)</f>
        <v>-6962525</v>
      </c>
      <c r="H141" s="1051"/>
      <c r="I141" s="1051">
        <f t="shared" ref="I141" si="60">(M141+Q141)/2</f>
        <v>0</v>
      </c>
      <c r="J141" s="1051">
        <f t="shared" ref="J141" si="61">(N141+R141)/2</f>
        <v>-644885</v>
      </c>
      <c r="K141" s="1051">
        <f t="shared" ref="K141" si="62">(O141+S141)/2</f>
        <v>-6317640</v>
      </c>
      <c r="L141" s="1051"/>
      <c r="M141" s="843"/>
      <c r="N141" s="843">
        <v>-1289770</v>
      </c>
      <c r="O141" s="843">
        <v>-12635280</v>
      </c>
      <c r="P141" s="1051"/>
      <c r="Q141" s="843">
        <v>0</v>
      </c>
      <c r="R141" s="843">
        <v>0</v>
      </c>
      <c r="S141" s="843">
        <v>0</v>
      </c>
    </row>
    <row r="142" spans="1:19">
      <c r="A142" s="1081">
        <f t="shared" si="40"/>
        <v>9.6599999999999859</v>
      </c>
      <c r="B142" s="843" t="s">
        <v>1307</v>
      </c>
      <c r="C142" s="1051">
        <f t="shared" ref="C142:C143" si="63">SUM(M142:O142)</f>
        <v>0</v>
      </c>
      <c r="D142" s="1051">
        <f t="shared" ref="D142:D143" si="64">SUM(Q142:S142)</f>
        <v>257396</v>
      </c>
      <c r="E142" s="1051"/>
      <c r="F142" s="1051"/>
      <c r="G142" s="1051">
        <f t="shared" ref="G142:G143" si="65">ROUND(SUM(C142:F142)/2,0)</f>
        <v>128698</v>
      </c>
      <c r="H142" s="1051"/>
      <c r="I142" s="1051">
        <f t="shared" ref="I142:I143" si="66">(M142+Q142)/2</f>
        <v>0</v>
      </c>
      <c r="J142" s="1051">
        <f t="shared" ref="J142:J143" si="67">(N142+R142)/2</f>
        <v>0</v>
      </c>
      <c r="K142" s="1051">
        <f t="shared" ref="K142:K143" si="68">(O142+S142)/2</f>
        <v>128698</v>
      </c>
      <c r="L142" s="1051"/>
      <c r="M142" s="843">
        <v>0</v>
      </c>
      <c r="N142" s="843">
        <v>0</v>
      </c>
      <c r="O142" s="843">
        <v>0</v>
      </c>
      <c r="P142" s="843">
        <v>0</v>
      </c>
      <c r="Q142" s="843">
        <v>0</v>
      </c>
      <c r="R142" s="843">
        <v>0</v>
      </c>
      <c r="S142" s="843">
        <v>257396</v>
      </c>
    </row>
    <row r="143" spans="1:19">
      <c r="A143" s="1081">
        <f t="shared" ref="A143:A152" si="69">A142+0.01</f>
        <v>9.6699999999999857</v>
      </c>
      <c r="B143" s="843" t="s">
        <v>1308</v>
      </c>
      <c r="C143" s="1051">
        <f t="shared" si="63"/>
        <v>0</v>
      </c>
      <c r="D143" s="1051">
        <f t="shared" si="64"/>
        <v>478510.83</v>
      </c>
      <c r="E143" s="1051"/>
      <c r="F143" s="1051"/>
      <c r="G143" s="1051">
        <f t="shared" si="65"/>
        <v>239255</v>
      </c>
      <c r="H143" s="1051"/>
      <c r="I143" s="1051">
        <f t="shared" si="66"/>
        <v>0</v>
      </c>
      <c r="J143" s="1051">
        <f t="shared" si="67"/>
        <v>0</v>
      </c>
      <c r="K143" s="1051">
        <f t="shared" si="68"/>
        <v>239255.41500000001</v>
      </c>
      <c r="L143" s="1051"/>
      <c r="M143" s="843">
        <v>0</v>
      </c>
      <c r="N143" s="843">
        <v>0</v>
      </c>
      <c r="O143" s="843">
        <v>0</v>
      </c>
      <c r="P143" s="843">
        <v>0</v>
      </c>
      <c r="Q143" s="843">
        <v>0</v>
      </c>
      <c r="R143" s="843">
        <v>0</v>
      </c>
      <c r="S143" s="843">
        <v>478510.83</v>
      </c>
    </row>
    <row r="144" spans="1:19">
      <c r="A144" s="1081">
        <f t="shared" si="69"/>
        <v>9.6799999999999855</v>
      </c>
      <c r="B144" s="843" t="s">
        <v>1018</v>
      </c>
      <c r="C144" s="1051">
        <f>SUM(M144:O144)</f>
        <v>28178975</v>
      </c>
      <c r="D144" s="1051">
        <f t="shared" si="49"/>
        <v>24014407</v>
      </c>
      <c r="E144" s="1051"/>
      <c r="F144" s="1051"/>
      <c r="G144" s="1051">
        <f t="shared" si="47"/>
        <v>26096691</v>
      </c>
      <c r="H144" s="1051"/>
      <c r="I144" s="1051">
        <f t="shared" si="57"/>
        <v>0</v>
      </c>
      <c r="J144" s="1051">
        <f t="shared" si="57"/>
        <v>2143624.5</v>
      </c>
      <c r="K144" s="1051">
        <f t="shared" si="57"/>
        <v>23953066.5</v>
      </c>
      <c r="L144" s="1051"/>
      <c r="M144" s="843">
        <v>0</v>
      </c>
      <c r="N144" s="843">
        <f>1023287-N141</f>
        <v>2313057</v>
      </c>
      <c r="O144" s="843">
        <f>13230638-O141</f>
        <v>25865918</v>
      </c>
      <c r="P144" s="1051"/>
      <c r="Q144" s="843">
        <v>0</v>
      </c>
      <c r="R144" s="843">
        <v>1974192</v>
      </c>
      <c r="S144" s="843">
        <v>22040215</v>
      </c>
    </row>
    <row r="145" spans="1:19">
      <c r="A145" s="1081">
        <f t="shared" si="69"/>
        <v>9.6899999999999853</v>
      </c>
      <c r="B145" s="843" t="s">
        <v>1019</v>
      </c>
      <c r="C145" s="843">
        <f t="shared" ref="C145:D152" si="70">-E145</f>
        <v>692499.77</v>
      </c>
      <c r="D145" s="843">
        <f t="shared" si="70"/>
        <v>676373.45000000007</v>
      </c>
      <c r="E145" s="1051">
        <v>-692499.77</v>
      </c>
      <c r="F145" s="1051">
        <v>-676373.45000000007</v>
      </c>
      <c r="G145" s="1051">
        <f t="shared" si="47"/>
        <v>0</v>
      </c>
      <c r="H145" s="1051"/>
      <c r="I145" s="1051">
        <f t="shared" si="57"/>
        <v>0</v>
      </c>
      <c r="J145" s="1051">
        <f t="shared" si="57"/>
        <v>0</v>
      </c>
      <c r="K145" s="1051">
        <f t="shared" si="57"/>
        <v>0</v>
      </c>
      <c r="L145" s="1051"/>
      <c r="M145" s="1315"/>
      <c r="N145" s="1315"/>
      <c r="O145" s="1315"/>
      <c r="P145" s="1051"/>
      <c r="Q145" s="1315"/>
      <c r="R145" s="1315"/>
      <c r="S145" s="1315"/>
    </row>
    <row r="146" spans="1:19">
      <c r="A146" s="1081">
        <f t="shared" si="69"/>
        <v>9.6999999999999851</v>
      </c>
      <c r="B146" s="843" t="s">
        <v>1077</v>
      </c>
      <c r="C146" s="843">
        <f t="shared" si="70"/>
        <v>12984861.289999999</v>
      </c>
      <c r="D146" s="843">
        <f t="shared" si="70"/>
        <v>12611523.66</v>
      </c>
      <c r="E146" s="1051">
        <v>-12984861.289999999</v>
      </c>
      <c r="F146" s="1051">
        <v>-12611523.66</v>
      </c>
      <c r="G146" s="1051">
        <f t="shared" si="47"/>
        <v>0</v>
      </c>
      <c r="H146" s="1051"/>
      <c r="I146" s="1051">
        <f t="shared" si="57"/>
        <v>0</v>
      </c>
      <c r="J146" s="1051">
        <f t="shared" si="57"/>
        <v>0</v>
      </c>
      <c r="K146" s="1051">
        <f t="shared" si="57"/>
        <v>0</v>
      </c>
      <c r="L146" s="1051"/>
      <c r="M146" s="1315"/>
      <c r="N146" s="1315"/>
      <c r="O146" s="1315"/>
      <c r="P146" s="1051"/>
      <c r="Q146" s="1315"/>
      <c r="R146" s="1315"/>
      <c r="S146" s="1315"/>
    </row>
    <row r="147" spans="1:19">
      <c r="A147" s="1081">
        <f t="shared" si="69"/>
        <v>9.7099999999999849</v>
      </c>
      <c r="B147" s="843" t="s">
        <v>1078</v>
      </c>
      <c r="C147" s="843">
        <f t="shared" si="70"/>
        <v>-28178975</v>
      </c>
      <c r="D147" s="843">
        <f t="shared" si="70"/>
        <v>-24014407</v>
      </c>
      <c r="E147" s="1051">
        <v>28178975</v>
      </c>
      <c r="F147" s="1051">
        <v>24014407</v>
      </c>
      <c r="G147" s="1051">
        <f t="shared" si="47"/>
        <v>0</v>
      </c>
      <c r="H147" s="1051"/>
      <c r="I147" s="1051">
        <f t="shared" si="57"/>
        <v>0</v>
      </c>
      <c r="J147" s="1051">
        <f t="shared" si="57"/>
        <v>0</v>
      </c>
      <c r="K147" s="1051">
        <f t="shared" si="57"/>
        <v>0</v>
      </c>
      <c r="L147" s="1051"/>
      <c r="M147" s="1315"/>
      <c r="N147" s="1315"/>
      <c r="O147" s="1315"/>
      <c r="P147" s="1051"/>
      <c r="Q147" s="1315"/>
      <c r="R147" s="1315"/>
      <c r="S147" s="1315"/>
    </row>
    <row r="148" spans="1:19">
      <c r="A148" s="1081">
        <f t="shared" si="69"/>
        <v>9.7199999999999847</v>
      </c>
      <c r="B148" s="843" t="s">
        <v>1298</v>
      </c>
      <c r="C148" s="843">
        <f t="shared" ref="C148:C149" si="71">-E148</f>
        <v>0</v>
      </c>
      <c r="D148" s="843">
        <f t="shared" ref="D148:D149" si="72">-F148</f>
        <v>-735906.83</v>
      </c>
      <c r="E148" s="1051">
        <v>0</v>
      </c>
      <c r="F148" s="1051">
        <v>735906.83</v>
      </c>
      <c r="G148" s="1051">
        <f t="shared" si="47"/>
        <v>0</v>
      </c>
      <c r="H148" s="1051"/>
      <c r="I148" s="1051">
        <f t="shared" ref="I148:I150" si="73">(M148+Q148)/2</f>
        <v>0</v>
      </c>
      <c r="J148" s="1051">
        <f t="shared" ref="J148:J150" si="74">(N148+R148)/2</f>
        <v>0</v>
      </c>
      <c r="K148" s="1051">
        <f t="shared" ref="K148:K150" si="75">(O148+S148)/2</f>
        <v>0</v>
      </c>
      <c r="L148" s="1051"/>
      <c r="M148" s="1315"/>
      <c r="N148" s="1315"/>
      <c r="O148" s="1315"/>
      <c r="P148" s="1051"/>
      <c r="Q148" s="1315"/>
      <c r="R148" s="1315"/>
      <c r="S148" s="1315"/>
    </row>
    <row r="149" spans="1:19">
      <c r="A149" s="1081">
        <f t="shared" si="69"/>
        <v>9.7299999999999844</v>
      </c>
      <c r="B149" s="843" t="s">
        <v>1299</v>
      </c>
      <c r="C149" s="843">
        <f t="shared" si="71"/>
        <v>0</v>
      </c>
      <c r="D149" s="843">
        <f t="shared" si="72"/>
        <v>2278623</v>
      </c>
      <c r="E149" s="1051">
        <v>0</v>
      </c>
      <c r="F149" s="1051">
        <v>-2278623</v>
      </c>
      <c r="G149" s="1051">
        <f t="shared" si="47"/>
        <v>0</v>
      </c>
      <c r="H149" s="1051"/>
      <c r="I149" s="1051">
        <f t="shared" si="73"/>
        <v>0</v>
      </c>
      <c r="J149" s="1051">
        <f t="shared" si="74"/>
        <v>0</v>
      </c>
      <c r="K149" s="1051">
        <f t="shared" si="75"/>
        <v>0</v>
      </c>
      <c r="L149" s="1051"/>
      <c r="M149" s="1315"/>
      <c r="N149" s="1315"/>
      <c r="O149" s="1315"/>
      <c r="P149" s="1051"/>
      <c r="Q149" s="1315"/>
      <c r="R149" s="1315"/>
      <c r="S149" s="1315"/>
    </row>
    <row r="150" spans="1:19">
      <c r="A150" s="1081">
        <f t="shared" si="69"/>
        <v>9.7399999999999842</v>
      </c>
      <c r="B150" s="843" t="s">
        <v>1079</v>
      </c>
      <c r="C150" s="843">
        <f t="shared" si="70"/>
        <v>0</v>
      </c>
      <c r="D150" s="843">
        <f t="shared" si="70"/>
        <v>0</v>
      </c>
      <c r="E150" s="1051">
        <v>0</v>
      </c>
      <c r="F150" s="1051">
        <v>0</v>
      </c>
      <c r="G150" s="1051">
        <f t="shared" si="47"/>
        <v>0</v>
      </c>
      <c r="H150" s="1051"/>
      <c r="I150" s="1051">
        <f t="shared" si="73"/>
        <v>0</v>
      </c>
      <c r="J150" s="1051">
        <f t="shared" si="74"/>
        <v>0</v>
      </c>
      <c r="K150" s="1051">
        <f t="shared" si="75"/>
        <v>0</v>
      </c>
      <c r="L150" s="1051"/>
      <c r="M150" s="1315"/>
      <c r="N150" s="1315"/>
      <c r="O150" s="1315"/>
      <c r="P150" s="1051"/>
      <c r="Q150" s="1315"/>
      <c r="R150" s="1315"/>
      <c r="S150" s="1315"/>
    </row>
    <row r="151" spans="1:19">
      <c r="A151" s="1081">
        <f t="shared" si="69"/>
        <v>9.749999999999984</v>
      </c>
      <c r="B151" s="843" t="s">
        <v>1080</v>
      </c>
      <c r="C151" s="843">
        <f t="shared" si="70"/>
        <v>0</v>
      </c>
      <c r="D151" s="843">
        <f t="shared" si="70"/>
        <v>0</v>
      </c>
      <c r="E151" s="1051">
        <v>0</v>
      </c>
      <c r="F151" s="1051">
        <v>0</v>
      </c>
      <c r="G151" s="1051">
        <f>ROUND(SUM(C151:F151)/2,0)</f>
        <v>0</v>
      </c>
      <c r="H151" s="1051"/>
      <c r="I151" s="1051">
        <f t="shared" si="57"/>
        <v>0</v>
      </c>
      <c r="J151" s="1051">
        <f t="shared" si="57"/>
        <v>0</v>
      </c>
      <c r="K151" s="1051">
        <f t="shared" si="57"/>
        <v>0</v>
      </c>
      <c r="L151" s="1051"/>
      <c r="M151" s="1315"/>
      <c r="N151" s="1315"/>
      <c r="O151" s="1315"/>
      <c r="P151" s="1051"/>
      <c r="Q151" s="1315"/>
      <c r="R151" s="1315"/>
      <c r="S151" s="1315"/>
    </row>
    <row r="152" spans="1:19">
      <c r="A152" s="1081">
        <f t="shared" si="69"/>
        <v>9.7599999999999838</v>
      </c>
      <c r="B152" s="843" t="s">
        <v>1081</v>
      </c>
      <c r="C152" s="843">
        <f t="shared" si="70"/>
        <v>8023.42</v>
      </c>
      <c r="D152" s="843">
        <f t="shared" si="70"/>
        <v>5191.6500000000005</v>
      </c>
      <c r="E152" s="1051">
        <v>-8023.42</v>
      </c>
      <c r="F152" s="1051">
        <v>-5191.6500000000005</v>
      </c>
      <c r="G152" s="1051">
        <f t="shared" si="47"/>
        <v>0</v>
      </c>
      <c r="H152" s="1051"/>
      <c r="I152" s="1051">
        <f t="shared" si="57"/>
        <v>0</v>
      </c>
      <c r="J152" s="1051">
        <f t="shared" si="57"/>
        <v>0</v>
      </c>
      <c r="K152" s="1051">
        <f t="shared" si="57"/>
        <v>0</v>
      </c>
      <c r="L152" s="1051"/>
      <c r="M152" s="1315"/>
      <c r="N152" s="1315"/>
      <c r="O152" s="1315"/>
      <c r="P152" s="1051"/>
      <c r="Q152" s="1315"/>
      <c r="R152" s="1315"/>
      <c r="S152" s="1315"/>
    </row>
    <row r="153" spans="1:19">
      <c r="A153" s="1061"/>
      <c r="B153" s="1041"/>
      <c r="C153" s="1051"/>
      <c r="D153" s="1051"/>
      <c r="E153" s="1051"/>
      <c r="F153" s="1051"/>
      <c r="G153" s="1051"/>
      <c r="H153" s="1051"/>
      <c r="I153" s="1051"/>
      <c r="J153" s="1051"/>
      <c r="K153" s="1051"/>
      <c r="L153" s="1051"/>
      <c r="M153" s="1051"/>
      <c r="N153" s="1051"/>
      <c r="O153" s="1051"/>
      <c r="P153" s="1051"/>
      <c r="Q153" s="1051"/>
      <c r="R153" s="1051"/>
      <c r="S153" s="1051"/>
    </row>
    <row r="154" spans="1:19">
      <c r="A154" s="1061"/>
      <c r="B154" s="1041"/>
      <c r="C154" s="1051"/>
      <c r="D154" s="1051"/>
      <c r="E154" s="1051"/>
      <c r="F154" s="1051"/>
      <c r="G154" s="1051"/>
      <c r="H154" s="1051"/>
      <c r="I154" s="1051"/>
      <c r="J154" s="1051"/>
      <c r="K154" s="1051"/>
      <c r="L154" s="1051"/>
      <c r="M154" s="1051"/>
      <c r="N154" s="1051"/>
      <c r="O154" s="1051"/>
      <c r="P154" s="1051"/>
      <c r="Q154" s="1051"/>
      <c r="R154" s="1051"/>
      <c r="S154" s="1051"/>
    </row>
    <row r="155" spans="1:19" ht="13.5" thickBot="1">
      <c r="A155" s="1061">
        <v>10</v>
      </c>
      <c r="B155" s="1042"/>
      <c r="C155" s="1054">
        <f>SUM(C77:C154)</f>
        <v>91527163.019999996</v>
      </c>
      <c r="D155" s="1054">
        <f>SUM(D77:D154)</f>
        <v>88959424.819999993</v>
      </c>
      <c r="E155" s="1054">
        <f>SUM(E77:E154)</f>
        <v>14493590.520000001</v>
      </c>
      <c r="F155" s="1054">
        <f>SUM(F77:F154)</f>
        <v>9178602.0700000003</v>
      </c>
      <c r="G155" s="1054">
        <f>SUM(G77:G154)</f>
        <v>102079389</v>
      </c>
      <c r="H155" s="1058"/>
      <c r="I155" s="1054">
        <f>SUM(I77:I154)</f>
        <v>0</v>
      </c>
      <c r="J155" s="1054">
        <f>SUM(J77:J154)</f>
        <v>12141066.235000001</v>
      </c>
      <c r="K155" s="1054">
        <f>SUM(K77:K154)</f>
        <v>89938323.980000019</v>
      </c>
      <c r="L155" s="1058"/>
      <c r="M155" s="1054">
        <f>SUM(M77:M154)</f>
        <v>0</v>
      </c>
      <c r="N155" s="1054">
        <f>SUM(N77:N154)</f>
        <v>12854566.850000001</v>
      </c>
      <c r="O155" s="1054">
        <f>SUM(O77:O154)</f>
        <v>93166186.690000013</v>
      </c>
      <c r="P155" s="1058"/>
      <c r="Q155" s="1054">
        <f>SUM(Q77:Q154)</f>
        <v>0</v>
      </c>
      <c r="R155" s="1054">
        <f>SUM(R77:R154)</f>
        <v>11427565.619999997</v>
      </c>
      <c r="S155" s="1054">
        <f>SUM(S77:S154)</f>
        <v>86710461.269999981</v>
      </c>
    </row>
    <row r="156" spans="1:19" ht="13.5" thickTop="1">
      <c r="A156" s="1061"/>
      <c r="B156" s="1041"/>
      <c r="C156" s="1055"/>
      <c r="D156" s="1055"/>
      <c r="E156" s="1055"/>
      <c r="F156" s="1055"/>
      <c r="G156" s="1055"/>
      <c r="H156" s="1051"/>
      <c r="I156" s="1055"/>
      <c r="J156" s="1055"/>
      <c r="K156" s="1055"/>
      <c r="L156" s="1051"/>
      <c r="M156" s="1055"/>
      <c r="N156" s="1055"/>
      <c r="O156" s="1055"/>
      <c r="P156" s="1051"/>
      <c r="Q156" s="1055"/>
      <c r="R156" s="1055"/>
      <c r="S156" s="1055"/>
    </row>
    <row r="157" spans="1:19">
      <c r="A157" s="1061"/>
      <c r="B157" s="1041"/>
      <c r="C157" s="1051"/>
      <c r="D157" s="1051"/>
      <c r="E157" s="1051"/>
      <c r="F157" s="1051"/>
      <c r="G157" s="1051"/>
      <c r="H157" s="1051"/>
      <c r="I157" s="1051"/>
      <c r="J157" s="1051"/>
      <c r="K157" s="1051"/>
      <c r="L157" s="1051"/>
      <c r="M157" s="1051"/>
      <c r="N157" s="1051"/>
      <c r="O157" s="1051"/>
      <c r="P157" s="1051"/>
      <c r="Q157" s="1051"/>
      <c r="R157" s="1051"/>
      <c r="S157" s="1051"/>
    </row>
    <row r="158" spans="1:19">
      <c r="A158" s="1061">
        <f>+A155+1</f>
        <v>11</v>
      </c>
      <c r="B158" s="241" t="s">
        <v>725</v>
      </c>
      <c r="C158" s="1051">
        <f>SUM(M158:O158)</f>
        <v>48023017.43</v>
      </c>
      <c r="D158" s="1051">
        <f>SUM(Q158:S158)</f>
        <v>53546284.429999992</v>
      </c>
      <c r="E158" s="1051"/>
      <c r="F158" s="1051"/>
      <c r="G158" s="1051">
        <f>ROUND(SUM(C158:F158)/2,0)</f>
        <v>50784651</v>
      </c>
      <c r="H158" s="1051"/>
      <c r="I158" s="1051">
        <f>(M158+Q158)/2</f>
        <v>0</v>
      </c>
      <c r="J158" s="1051">
        <f>(N158+R158)/2</f>
        <v>17087222.129999999</v>
      </c>
      <c r="K158" s="1051">
        <f>(O158+S158)/2</f>
        <v>33697428.799999997</v>
      </c>
      <c r="L158" s="1051"/>
      <c r="M158" s="843">
        <v>0</v>
      </c>
      <c r="N158" s="843">
        <v>15042159.630000001</v>
      </c>
      <c r="O158" s="843">
        <v>32980857.800000001</v>
      </c>
      <c r="P158" s="1051"/>
      <c r="Q158" s="843"/>
      <c r="R158" s="843">
        <v>19132284.629999999</v>
      </c>
      <c r="S158" s="843">
        <v>34413999.799999997</v>
      </c>
    </row>
    <row r="159" spans="1:19">
      <c r="A159" s="1081">
        <f>A158+0.01</f>
        <v>11.01</v>
      </c>
      <c r="B159" s="843" t="s">
        <v>1082</v>
      </c>
      <c r="C159" s="843">
        <f>-E159</f>
        <v>3286201.59</v>
      </c>
      <c r="D159" s="843">
        <f>-F159</f>
        <v>2752311.79</v>
      </c>
      <c r="E159" s="1051">
        <v>-3286201.59</v>
      </c>
      <c r="F159" s="1051">
        <v>-2752311.79</v>
      </c>
      <c r="G159" s="1051">
        <f>ROUND(SUM(C159:F159)/2,0)</f>
        <v>0</v>
      </c>
      <c r="H159" s="1051"/>
      <c r="I159" s="1051"/>
      <c r="J159" s="1051"/>
      <c r="K159" s="1051"/>
      <c r="L159" s="1051"/>
      <c r="M159" s="1051"/>
      <c r="N159" s="1051"/>
      <c r="O159" s="1051"/>
      <c r="P159" s="1051"/>
      <c r="Q159" s="1051"/>
      <c r="R159" s="1051"/>
      <c r="S159" s="1051"/>
    </row>
    <row r="160" spans="1:19">
      <c r="A160" s="1061"/>
      <c r="B160" s="1041"/>
      <c r="C160" s="1051"/>
      <c r="D160" s="1051"/>
      <c r="E160" s="1051"/>
      <c r="F160" s="1051"/>
      <c r="G160" s="1051"/>
      <c r="H160" s="1051"/>
      <c r="I160" s="1051"/>
      <c r="J160" s="1051"/>
      <c r="K160" s="1051"/>
      <c r="L160" s="1051"/>
      <c r="M160" s="1051"/>
      <c r="N160" s="1051"/>
      <c r="O160" s="1051"/>
      <c r="P160" s="1051"/>
      <c r="Q160" s="1051"/>
      <c r="R160" s="1051"/>
      <c r="S160" s="1051"/>
    </row>
    <row r="161" spans="1:19" ht="13.5" thickBot="1">
      <c r="A161" s="1061">
        <f>+A158+1</f>
        <v>12</v>
      </c>
      <c r="B161" s="960" t="s">
        <v>726</v>
      </c>
      <c r="C161" s="1054">
        <f>SUM(C155:C160)</f>
        <v>142836382.03999999</v>
      </c>
      <c r="D161" s="1054">
        <f>SUM(D155:D160)</f>
        <v>145258021.03999999</v>
      </c>
      <c r="E161" s="1054">
        <f>SUM(E155:E160)</f>
        <v>11207388.930000002</v>
      </c>
      <c r="F161" s="1054">
        <f>SUM(F155:F160)</f>
        <v>6426290.2800000003</v>
      </c>
      <c r="G161" s="1054">
        <f>SUM(G155:G160)</f>
        <v>152864040</v>
      </c>
      <c r="H161" s="1051"/>
      <c r="I161" s="1054">
        <f>SUM(I155:I160)</f>
        <v>0</v>
      </c>
      <c r="J161" s="1054">
        <f>SUM(J155:J160)</f>
        <v>29228288.365000002</v>
      </c>
      <c r="K161" s="1054">
        <f>SUM(K155:K160)</f>
        <v>123635752.78000002</v>
      </c>
      <c r="L161" s="1051"/>
      <c r="M161" s="1054">
        <f>SUM(M155:M160)</f>
        <v>0</v>
      </c>
      <c r="N161" s="1054">
        <f>SUM(N155:N160)</f>
        <v>27896726.480000004</v>
      </c>
      <c r="O161" s="1054">
        <f>SUM(O155:O160)</f>
        <v>126147044.49000001</v>
      </c>
      <c r="P161" s="1051"/>
      <c r="Q161" s="1054">
        <f>SUM(Q155:Q160)</f>
        <v>0</v>
      </c>
      <c r="R161" s="1054">
        <f>SUM(R155:R160)</f>
        <v>30559850.249999996</v>
      </c>
      <c r="S161" s="1054">
        <f>SUM(S155:S160)</f>
        <v>121124461.06999998</v>
      </c>
    </row>
    <row r="162" spans="1:19" ht="13.5" thickTop="1">
      <c r="A162" s="1061">
        <f>A161+1</f>
        <v>13</v>
      </c>
      <c r="B162" s="1121" t="s">
        <v>737</v>
      </c>
      <c r="C162" s="1055">
        <v>0</v>
      </c>
      <c r="D162" s="1055">
        <v>0</v>
      </c>
      <c r="E162" s="1055">
        <v>0</v>
      </c>
      <c r="F162" s="1055">
        <v>0</v>
      </c>
      <c r="G162" s="1055">
        <v>0</v>
      </c>
      <c r="H162" s="1051"/>
      <c r="I162" s="1055">
        <v>0</v>
      </c>
      <c r="J162" s="1055">
        <v>0</v>
      </c>
      <c r="K162" s="1055">
        <v>0</v>
      </c>
      <c r="L162" s="1051"/>
      <c r="M162" s="1055">
        <v>0</v>
      </c>
      <c r="N162" s="1055">
        <v>0</v>
      </c>
      <c r="O162" s="1055">
        <v>0</v>
      </c>
      <c r="P162" s="1051"/>
      <c r="Q162" s="1055">
        <v>0</v>
      </c>
      <c r="R162" s="1055">
        <v>0</v>
      </c>
      <c r="S162" s="1055">
        <v>0</v>
      </c>
    </row>
    <row r="163" spans="1:19">
      <c r="A163" s="1061"/>
      <c r="B163" s="1041"/>
      <c r="C163" s="1057"/>
      <c r="D163" s="1057"/>
      <c r="E163" s="1051"/>
      <c r="F163" s="1051"/>
      <c r="G163" s="1051"/>
      <c r="H163" s="1051"/>
      <c r="I163" s="1051"/>
      <c r="J163" s="1051"/>
      <c r="K163" s="1051"/>
      <c r="L163" s="1051"/>
      <c r="M163" s="1051"/>
      <c r="N163" s="1051"/>
      <c r="O163" s="1051"/>
      <c r="P163" s="1051"/>
      <c r="Q163" s="1051"/>
      <c r="R163" s="1051"/>
      <c r="S163" s="1051"/>
    </row>
    <row r="164" spans="1:19">
      <c r="A164" s="1061">
        <f>+A162+1</f>
        <v>14</v>
      </c>
      <c r="B164" s="1042" t="s">
        <v>727</v>
      </c>
      <c r="C164" s="1051"/>
      <c r="D164" s="1051"/>
      <c r="E164" s="1051"/>
      <c r="F164" s="1051"/>
      <c r="G164" s="1051"/>
      <c r="H164" s="1051"/>
      <c r="I164" s="1051"/>
      <c r="J164" s="1051"/>
      <c r="K164" s="1051"/>
      <c r="L164" s="1051"/>
      <c r="M164" s="1051"/>
      <c r="N164" s="1051"/>
      <c r="O164" s="1051"/>
      <c r="P164" s="1051"/>
      <c r="Q164" s="1051"/>
      <c r="R164" s="1051"/>
      <c r="S164" s="1051"/>
    </row>
    <row r="165" spans="1:19">
      <c r="A165" s="1061"/>
      <c r="B165" s="1041"/>
      <c r="C165" s="1051"/>
      <c r="D165" s="1051"/>
      <c r="E165" s="1051"/>
      <c r="F165" s="1051"/>
      <c r="G165" s="1051"/>
      <c r="H165" s="1051"/>
      <c r="I165" s="1051"/>
      <c r="J165" s="1051"/>
      <c r="K165" s="1051"/>
      <c r="L165" s="1051"/>
      <c r="M165" s="1051"/>
      <c r="N165" s="1051"/>
      <c r="O165" s="1051"/>
      <c r="P165" s="1051"/>
      <c r="Q165" s="1051"/>
      <c r="R165" s="1051"/>
      <c r="S165" s="1051"/>
    </row>
    <row r="166" spans="1:19">
      <c r="A166" s="1061">
        <f>+A164+1</f>
        <v>15</v>
      </c>
      <c r="B166" s="1042" t="s">
        <v>728</v>
      </c>
      <c r="C166" s="1051"/>
      <c r="D166" s="1051"/>
      <c r="E166" s="1051"/>
      <c r="F166" s="1051"/>
      <c r="G166" s="1051"/>
      <c r="H166" s="1051"/>
      <c r="I166" s="1051"/>
      <c r="J166" s="1051"/>
      <c r="K166" s="1051"/>
      <c r="L166" s="1051"/>
      <c r="M166" s="1051"/>
      <c r="N166" s="1051"/>
      <c r="O166" s="1051"/>
      <c r="P166" s="1051"/>
      <c r="Q166" s="1051"/>
      <c r="R166" s="1051"/>
      <c r="S166" s="1051"/>
    </row>
    <row r="167" spans="1:19">
      <c r="A167" s="1061"/>
      <c r="B167" s="1041"/>
      <c r="C167" s="1051"/>
      <c r="D167" s="1059"/>
      <c r="E167" s="1059"/>
      <c r="F167" s="1059"/>
      <c r="G167" s="1059"/>
      <c r="H167" s="1059"/>
      <c r="I167" s="1059"/>
      <c r="J167" s="1059"/>
      <c r="K167" s="1059"/>
      <c r="L167" s="1059"/>
      <c r="M167" s="1051"/>
      <c r="N167" s="1051"/>
      <c r="O167" s="1051"/>
      <c r="P167" s="1051"/>
      <c r="Q167" s="1051"/>
      <c r="R167" s="1051"/>
      <c r="S167" s="1051"/>
    </row>
    <row r="168" spans="1:19">
      <c r="A168" s="1061">
        <f>+A166+1</f>
        <v>16</v>
      </c>
      <c r="B168" s="1042" t="s">
        <v>729</v>
      </c>
      <c r="C168" s="1051"/>
      <c r="D168" s="1059"/>
      <c r="E168" s="1059"/>
      <c r="F168" s="1059"/>
      <c r="G168" s="1059"/>
      <c r="H168" s="1059"/>
      <c r="I168" s="1059"/>
      <c r="J168" s="1059"/>
      <c r="K168" s="1059"/>
      <c r="L168" s="1059"/>
      <c r="M168" s="1051"/>
      <c r="N168" s="1051"/>
      <c r="O168" s="1051"/>
      <c r="P168" s="1051"/>
      <c r="Q168" s="1051"/>
      <c r="R168" s="1051"/>
      <c r="S168" s="1051"/>
    </row>
    <row r="169" spans="1:19">
      <c r="A169" s="1061"/>
      <c r="B169" s="1041"/>
      <c r="C169" s="1051"/>
      <c r="D169" s="1051"/>
      <c r="E169" s="1051"/>
      <c r="F169" s="1051"/>
      <c r="G169" s="1051"/>
      <c r="H169" s="1051"/>
      <c r="I169" s="1051"/>
      <c r="J169" s="1051"/>
      <c r="K169" s="1051"/>
      <c r="L169" s="1051"/>
      <c r="M169" s="1051"/>
      <c r="N169" s="1051"/>
      <c r="O169" s="1051"/>
      <c r="P169" s="1051"/>
      <c r="Q169" s="1051"/>
      <c r="R169" s="1051"/>
      <c r="S169" s="1051"/>
    </row>
    <row r="170" spans="1:19">
      <c r="A170" s="1061">
        <f>+A168+1</f>
        <v>17</v>
      </c>
      <c r="B170" s="241" t="s">
        <v>730</v>
      </c>
      <c r="C170" s="1051"/>
      <c r="D170" s="1051"/>
      <c r="E170" s="1051"/>
      <c r="F170" s="1051"/>
      <c r="G170" s="1051"/>
      <c r="H170" s="1051"/>
      <c r="I170" s="1051"/>
      <c r="J170" s="1051"/>
      <c r="K170" s="1051"/>
      <c r="L170" s="1051"/>
      <c r="M170" s="1051"/>
      <c r="N170" s="1051"/>
      <c r="O170" s="1051"/>
      <c r="P170" s="1051"/>
      <c r="Q170" s="1051"/>
      <c r="R170" s="1051"/>
      <c r="S170" s="1051"/>
    </row>
    <row r="171" spans="1:19">
      <c r="A171" s="1061">
        <f>A170+1</f>
        <v>18</v>
      </c>
      <c r="B171" s="241" t="s">
        <v>731</v>
      </c>
      <c r="C171" s="1051"/>
      <c r="D171" s="1051"/>
      <c r="E171" s="1051"/>
      <c r="F171" s="1051"/>
      <c r="G171" s="1051"/>
      <c r="H171" s="1051"/>
      <c r="I171" s="1051"/>
      <c r="J171" s="1051"/>
      <c r="K171" s="1051"/>
      <c r="L171" s="1051"/>
      <c r="M171" s="1051"/>
      <c r="N171" s="1051"/>
      <c r="O171" s="1051"/>
      <c r="P171" s="1051"/>
      <c r="Q171" s="1315"/>
      <c r="R171" s="1051"/>
      <c r="S171" s="1051"/>
    </row>
    <row r="172" spans="1:19">
      <c r="A172" s="1081">
        <f>A171+0.01</f>
        <v>18.010000000000002</v>
      </c>
      <c r="B172" s="843" t="s">
        <v>1083</v>
      </c>
      <c r="C172" s="1051">
        <f>SUM(M172:O172)</f>
        <v>512</v>
      </c>
      <c r="D172" s="1051">
        <f>SUM(Q172:S172)</f>
        <v>512</v>
      </c>
      <c r="E172" s="1051"/>
      <c r="F172" s="1051"/>
      <c r="G172" s="1051">
        <f>ROUND(SUM(C172:F172)/2,0)</f>
        <v>512</v>
      </c>
      <c r="H172" s="1051"/>
      <c r="I172" s="1051">
        <f t="shared" ref="I172:K173" si="76">(M172+Q172)/2</f>
        <v>0</v>
      </c>
      <c r="J172" s="1051">
        <f t="shared" si="76"/>
        <v>0</v>
      </c>
      <c r="K172" s="1051">
        <f t="shared" si="76"/>
        <v>512</v>
      </c>
      <c r="L172" s="1051"/>
      <c r="M172" s="843">
        <v>0</v>
      </c>
      <c r="N172" s="843">
        <v>0</v>
      </c>
      <c r="O172" s="843">
        <v>512</v>
      </c>
      <c r="P172" s="1051"/>
      <c r="Q172" s="843">
        <v>0</v>
      </c>
      <c r="R172" s="843">
        <v>0</v>
      </c>
      <c r="S172" s="843">
        <v>512</v>
      </c>
    </row>
    <row r="173" spans="1:19">
      <c r="A173" s="1081">
        <f>A172+0.01</f>
        <v>18.020000000000003</v>
      </c>
      <c r="B173" s="843"/>
      <c r="C173" s="1051">
        <f>SUM(M173:O173)</f>
        <v>0</v>
      </c>
      <c r="D173" s="1051">
        <f>SUM(Q173:S173)</f>
        <v>0</v>
      </c>
      <c r="E173" s="1051"/>
      <c r="F173" s="1051"/>
      <c r="G173" s="1051">
        <f>ROUND(SUM(C173:F173)/2,0)</f>
        <v>0</v>
      </c>
      <c r="H173" s="1051"/>
      <c r="I173" s="1051">
        <f t="shared" si="76"/>
        <v>0</v>
      </c>
      <c r="J173" s="1051">
        <f t="shared" si="76"/>
        <v>0</v>
      </c>
      <c r="K173" s="1051">
        <f t="shared" si="76"/>
        <v>0</v>
      </c>
      <c r="L173" s="1051"/>
      <c r="M173" s="843"/>
      <c r="N173" s="843"/>
      <c r="O173" s="843"/>
      <c r="P173" s="1051"/>
      <c r="Q173" s="843"/>
      <c r="R173" s="843"/>
      <c r="S173" s="843"/>
    </row>
    <row r="174" spans="1:19">
      <c r="A174" s="1061">
        <f>INT(A173)+1</f>
        <v>19</v>
      </c>
      <c r="B174" s="1042"/>
      <c r="C174" s="1051"/>
      <c r="D174" s="1051"/>
      <c r="E174" s="1051"/>
      <c r="F174" s="1051"/>
      <c r="G174" s="1051"/>
      <c r="H174" s="1051"/>
      <c r="I174" s="1051"/>
      <c r="J174" s="1051"/>
      <c r="K174" s="1051"/>
      <c r="L174" s="1051"/>
      <c r="M174" s="1051"/>
      <c r="N174" s="1051"/>
      <c r="O174" s="1051"/>
      <c r="P174" s="1051"/>
      <c r="Q174" s="1051"/>
      <c r="R174" s="1051"/>
      <c r="S174" s="1051"/>
    </row>
    <row r="175" spans="1:19">
      <c r="A175" s="1061">
        <f>A174+1</f>
        <v>20</v>
      </c>
      <c r="B175" s="241" t="s">
        <v>732</v>
      </c>
      <c r="C175" s="1054">
        <f>SUM(C172:C174)</f>
        <v>512</v>
      </c>
      <c r="D175" s="1054">
        <f>SUM(D172:D174)</f>
        <v>512</v>
      </c>
      <c r="E175" s="1054">
        <f>SUM(E172:E174)</f>
        <v>0</v>
      </c>
      <c r="F175" s="1054">
        <f>SUM(F172:F174)</f>
        <v>0</v>
      </c>
      <c r="G175" s="1054">
        <f>SUM(G172:G174)</f>
        <v>512</v>
      </c>
      <c r="H175" s="1051"/>
      <c r="I175" s="1054">
        <f>SUM(I172:I174)</f>
        <v>0</v>
      </c>
      <c r="J175" s="1054">
        <f>SUM(J172:J174)</f>
        <v>0</v>
      </c>
      <c r="K175" s="1054">
        <f>SUM(K172:K174)</f>
        <v>512</v>
      </c>
      <c r="L175" s="1051"/>
      <c r="M175" s="1054">
        <f>SUM(M172:M174)</f>
        <v>0</v>
      </c>
      <c r="N175" s="1054">
        <f>SUM(N172:N174)</f>
        <v>0</v>
      </c>
      <c r="O175" s="1054">
        <f>SUM(O172:O174)</f>
        <v>512</v>
      </c>
      <c r="P175" s="1051"/>
      <c r="Q175" s="1054">
        <f>SUM(Q172:Q174)</f>
        <v>0</v>
      </c>
      <c r="R175" s="1054">
        <f>SUM(R172:R174)</f>
        <v>0</v>
      </c>
      <c r="S175" s="1054">
        <f>SUM(S172:S174)</f>
        <v>512</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59"/>
  <sheetViews>
    <sheetView view="pageBreakPreview" topLeftCell="A67" zoomScale="85" zoomScaleNormal="100" zoomScaleSheetLayoutView="85" workbookViewId="0">
      <selection activeCell="E119" sqref="E119"/>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2"/>
      <c r="B1" s="1120" t="str">
        <f>TCOS!F9</f>
        <v>Ohio Power Company</v>
      </c>
      <c r="C1" s="1063"/>
      <c r="D1" s="1063"/>
      <c r="E1" s="1063"/>
      <c r="F1" s="1041"/>
      <c r="G1" s="241"/>
      <c r="H1" s="241"/>
      <c r="I1" s="241"/>
      <c r="J1" s="241"/>
      <c r="K1" s="241"/>
      <c r="L1" s="241"/>
      <c r="M1" s="1041"/>
      <c r="N1" s="1041"/>
      <c r="O1" s="241"/>
      <c r="P1" s="1041"/>
      <c r="Q1" s="1041"/>
      <c r="R1" s="1041"/>
      <c r="S1" s="241"/>
    </row>
    <row r="2" spans="1:19">
      <c r="A2" s="1062"/>
      <c r="B2" s="1040" t="s">
        <v>818</v>
      </c>
      <c r="C2" s="1063"/>
      <c r="D2" s="1063"/>
      <c r="E2" s="1063"/>
      <c r="F2" s="1063"/>
      <c r="G2" s="1064"/>
      <c r="H2" s="1064"/>
      <c r="I2" s="1064"/>
      <c r="J2" s="1064"/>
      <c r="K2" s="1064"/>
      <c r="L2" s="1064"/>
      <c r="M2" s="1041"/>
      <c r="N2" s="1041"/>
      <c r="O2" s="1064"/>
      <c r="P2" s="1041"/>
      <c r="Q2" s="1041"/>
      <c r="R2" s="1041"/>
      <c r="S2" s="1064"/>
    </row>
    <row r="3" spans="1:19">
      <c r="A3" s="1062"/>
      <c r="B3" s="1040" t="str">
        <f>"PERIOD ENDED DECEMBER 31, "&amp;TCOS!L4</f>
        <v>PERIOD ENDED DECEMBER 31, 2021</v>
      </c>
      <c r="C3" s="1063"/>
      <c r="D3" s="1063"/>
      <c r="E3" s="1063"/>
      <c r="F3" s="1063"/>
      <c r="G3" s="1063"/>
      <c r="H3" s="1063"/>
      <c r="I3" s="1063"/>
      <c r="J3" s="1063"/>
      <c r="K3" s="1063"/>
      <c r="L3" s="1063"/>
      <c r="M3" s="1041"/>
      <c r="N3" s="1041"/>
      <c r="O3" s="1041"/>
      <c r="P3" s="1041"/>
      <c r="Q3" s="1041"/>
      <c r="R3" s="1041"/>
      <c r="S3" s="1041"/>
    </row>
    <row r="4" spans="1:19">
      <c r="A4" s="1062"/>
      <c r="B4" s="1050"/>
      <c r="C4" s="1063"/>
      <c r="D4" s="1063"/>
      <c r="E4" s="1063"/>
      <c r="F4" s="1063"/>
      <c r="G4" s="1" t="s">
        <v>733</v>
      </c>
      <c r="H4" s="1063"/>
      <c r="I4" s="1063"/>
      <c r="J4" s="1063"/>
      <c r="K4" s="1063"/>
      <c r="L4" s="1063"/>
      <c r="M4" s="1041"/>
      <c r="N4" s="1041"/>
      <c r="O4" s="1041"/>
      <c r="P4" s="1041"/>
      <c r="Q4" s="1041"/>
      <c r="R4" s="1041"/>
      <c r="S4" s="1041"/>
    </row>
    <row r="5" spans="1:19">
      <c r="A5" s="1062"/>
      <c r="B5" s="1043"/>
      <c r="C5" s="1063"/>
      <c r="D5" s="1063"/>
      <c r="E5" s="1063"/>
      <c r="F5" s="1063"/>
      <c r="G5" s="1063"/>
      <c r="H5" s="1063"/>
      <c r="I5" s="1063"/>
      <c r="J5" s="1063"/>
      <c r="K5" s="1063"/>
      <c r="L5" s="1063"/>
      <c r="M5" s="1041"/>
      <c r="N5" s="1041"/>
      <c r="O5" s="1041"/>
      <c r="P5" s="1041"/>
      <c r="Q5" s="1041"/>
      <c r="R5" s="1041"/>
      <c r="S5" s="1041"/>
    </row>
    <row r="6" spans="1:19">
      <c r="A6" s="1062"/>
      <c r="B6" s="1041"/>
      <c r="C6" s="1063"/>
      <c r="D6" s="1063"/>
      <c r="E6" s="1063"/>
      <c r="F6" s="1063"/>
      <c r="G6" s="1063"/>
      <c r="H6" s="1"/>
      <c r="I6" s="1"/>
      <c r="J6" s="1"/>
      <c r="K6" s="1"/>
      <c r="L6" s="1"/>
      <c r="M6" s="1041"/>
      <c r="N6" s="1041"/>
      <c r="O6" s="1041"/>
      <c r="P6" s="1041"/>
      <c r="Q6" s="1041"/>
      <c r="R6" s="1041"/>
      <c r="S6" s="1041"/>
    </row>
    <row r="7" spans="1:19">
      <c r="A7" s="1062"/>
      <c r="B7" s="1041"/>
      <c r="C7" s="1063"/>
      <c r="D7" s="1063"/>
      <c r="E7" s="1063"/>
      <c r="F7" s="1063"/>
      <c r="G7" s="1063"/>
      <c r="H7" s="1063"/>
      <c r="I7" s="1063"/>
      <c r="J7" s="1063"/>
      <c r="K7" s="1063"/>
      <c r="L7" s="1063"/>
      <c r="M7" s="1041"/>
      <c r="N7" s="1041"/>
      <c r="O7" s="1041"/>
      <c r="P7" s="1041"/>
      <c r="Q7" s="1041"/>
      <c r="R7" s="1041"/>
      <c r="S7" s="1041"/>
    </row>
    <row r="8" spans="1:19">
      <c r="A8" s="1062"/>
      <c r="B8" s="1044" t="s">
        <v>693</v>
      </c>
      <c r="C8" s="1065" t="s">
        <v>694</v>
      </c>
      <c r="D8" s="1065" t="s">
        <v>695</v>
      </c>
      <c r="E8" s="1065" t="s">
        <v>696</v>
      </c>
      <c r="F8" s="1065" t="s">
        <v>697</v>
      </c>
      <c r="G8" s="1065" t="s">
        <v>698</v>
      </c>
      <c r="H8" s="1065"/>
      <c r="I8" s="1065" t="s">
        <v>699</v>
      </c>
      <c r="J8" s="1065" t="s">
        <v>700</v>
      </c>
      <c r="K8" s="1065" t="s">
        <v>701</v>
      </c>
      <c r="L8" s="1065"/>
      <c r="M8" s="1044" t="s">
        <v>702</v>
      </c>
      <c r="N8" s="1044" t="s">
        <v>703</v>
      </c>
      <c r="O8" s="1044" t="s">
        <v>704</v>
      </c>
      <c r="P8" s="1041"/>
      <c r="Q8" s="1044" t="s">
        <v>705</v>
      </c>
      <c r="R8" s="1044" t="s">
        <v>706</v>
      </c>
      <c r="S8" s="1044" t="s">
        <v>707</v>
      </c>
    </row>
    <row r="9" spans="1:19">
      <c r="A9" s="1062"/>
      <c r="B9" s="1041"/>
      <c r="C9" s="1063"/>
      <c r="D9" s="1063"/>
      <c r="E9" s="1063"/>
      <c r="F9" s="1063"/>
      <c r="G9" s="1063"/>
      <c r="H9" s="1063"/>
      <c r="I9" s="1063"/>
      <c r="J9" s="1063"/>
      <c r="K9" s="1063"/>
      <c r="L9" s="1063"/>
      <c r="M9" s="1041"/>
      <c r="N9" s="1041"/>
      <c r="O9" s="1041"/>
      <c r="P9" s="1041"/>
      <c r="Q9" s="1041"/>
      <c r="R9" s="1041"/>
      <c r="S9" s="1041"/>
    </row>
    <row r="10" spans="1:19">
      <c r="A10" s="1062"/>
      <c r="B10" s="1041"/>
      <c r="C10" s="1066" t="s">
        <v>708</v>
      </c>
      <c r="D10" s="1066"/>
      <c r="E10" s="1067" t="s">
        <v>709</v>
      </c>
      <c r="F10" s="1066"/>
      <c r="G10" s="1068" t="s">
        <v>710</v>
      </c>
      <c r="H10" s="1068"/>
      <c r="I10" s="1069" t="s">
        <v>711</v>
      </c>
      <c r="J10" s="1066"/>
      <c r="K10" s="1066"/>
      <c r="L10" s="1068"/>
      <c r="M10" s="1048" t="str">
        <f>"FUNCTIONALIZATION 12/31/"&amp;TCOS!L4-1</f>
        <v>FUNCTIONALIZATION 12/31/2020</v>
      </c>
      <c r="N10" s="1045"/>
      <c r="O10" s="1045"/>
      <c r="P10" s="1041"/>
      <c r="Q10" s="1048" t="str">
        <f>"FUNCTIONALIZATION 12/31/"&amp;TCOS!L4</f>
        <v>FUNCTIONALIZATION 12/31/2021</v>
      </c>
      <c r="R10" s="1045"/>
      <c r="S10" s="1045"/>
    </row>
    <row r="11" spans="1:19">
      <c r="A11" s="1062"/>
      <c r="B11" s="1041"/>
      <c r="C11" s="1070"/>
      <c r="D11" s="1070"/>
      <c r="E11" s="1063"/>
      <c r="F11" s="1063"/>
      <c r="G11" s="1068" t="s">
        <v>712</v>
      </c>
      <c r="H11" s="1068"/>
      <c r="I11" s="1070"/>
      <c r="J11" s="1070"/>
      <c r="K11" s="1070"/>
      <c r="L11" s="1068"/>
      <c r="M11" s="1049"/>
      <c r="N11" s="1049"/>
      <c r="O11" s="1049"/>
      <c r="P11" s="1041"/>
      <c r="Q11" s="1049"/>
      <c r="R11" s="1049"/>
      <c r="S11" s="1049"/>
    </row>
    <row r="12" spans="1:19">
      <c r="A12" s="1062"/>
      <c r="B12" s="1041"/>
      <c r="C12" s="1068" t="s">
        <v>713</v>
      </c>
      <c r="D12" s="1068" t="s">
        <v>713</v>
      </c>
      <c r="E12" s="1068" t="s">
        <v>713</v>
      </c>
      <c r="F12" s="1068" t="s">
        <v>713</v>
      </c>
      <c r="G12" s="1068" t="s">
        <v>714</v>
      </c>
      <c r="H12" s="1068"/>
      <c r="I12" s="1063"/>
      <c r="J12" s="1063"/>
      <c r="K12" s="1063"/>
      <c r="L12" s="1068"/>
      <c r="M12" s="1041"/>
      <c r="N12" s="1041"/>
      <c r="O12" s="1041"/>
      <c r="P12" s="1041"/>
      <c r="Q12" s="1041"/>
      <c r="R12" s="1041"/>
      <c r="S12" s="1041"/>
    </row>
    <row r="13" spans="1:19">
      <c r="A13" s="1062"/>
      <c r="B13" s="1044" t="s">
        <v>715</v>
      </c>
      <c r="C13" s="1065" t="str">
        <f>"OF 12-31-"&amp;TCOS!L4-1</f>
        <v>OF 12-31-2020</v>
      </c>
      <c r="D13" s="1065" t="str">
        <f>"OF 12-31-"&amp;TCOS!L4</f>
        <v>OF 12-31-2021</v>
      </c>
      <c r="E13" s="1065" t="str">
        <f>"OF 12-31-"&amp;TCOS!L4-1</f>
        <v>OF 12-31-2020</v>
      </c>
      <c r="F13" s="1065" t="str">
        <f>"OF 12-31-"&amp;TCOS!L4</f>
        <v>OF 12-31-2021</v>
      </c>
      <c r="G13" s="1065" t="s">
        <v>716</v>
      </c>
      <c r="H13" s="1065"/>
      <c r="I13" s="1065" t="s">
        <v>717</v>
      </c>
      <c r="J13" s="1065" t="s">
        <v>718</v>
      </c>
      <c r="K13" s="1065" t="s">
        <v>719</v>
      </c>
      <c r="L13" s="1065"/>
      <c r="M13" s="1044" t="s">
        <v>717</v>
      </c>
      <c r="N13" s="1044" t="s">
        <v>718</v>
      </c>
      <c r="O13" s="1044" t="s">
        <v>719</v>
      </c>
      <c r="P13" s="1041"/>
      <c r="Q13" s="1044" t="s">
        <v>717</v>
      </c>
      <c r="R13" s="1044" t="s">
        <v>718</v>
      </c>
      <c r="S13" s="1044" t="s">
        <v>719</v>
      </c>
    </row>
    <row r="14" spans="1:19">
      <c r="A14" s="1062"/>
      <c r="B14" s="1041"/>
      <c r="C14" s="1063"/>
      <c r="D14" s="1063"/>
      <c r="E14" s="1063"/>
      <c r="F14" s="1063"/>
      <c r="G14" s="1063"/>
      <c r="H14" s="1063"/>
      <c r="I14" s="1063"/>
      <c r="J14" s="1063"/>
      <c r="K14" s="1063"/>
      <c r="L14" s="1063"/>
      <c r="M14" s="1041"/>
      <c r="N14" s="1041"/>
      <c r="O14" s="1041"/>
      <c r="P14" s="1041"/>
      <c r="Q14" s="1041"/>
      <c r="R14" s="1041"/>
      <c r="S14" s="1041"/>
    </row>
    <row r="15" spans="1:19">
      <c r="A15" s="1071">
        <v>1</v>
      </c>
      <c r="B15" s="1057" t="s">
        <v>734</v>
      </c>
      <c r="C15" s="1051"/>
      <c r="D15" s="1051"/>
      <c r="E15" s="1051"/>
      <c r="F15" s="1052"/>
      <c r="G15" s="1051"/>
      <c r="H15" s="1051"/>
      <c r="I15" s="1051"/>
      <c r="J15" s="1051"/>
      <c r="K15" s="1051"/>
      <c r="L15" s="1051"/>
      <c r="M15" s="1051"/>
      <c r="N15" s="1051"/>
      <c r="O15" s="1051"/>
      <c r="P15" s="1051"/>
      <c r="Q15" s="1051"/>
      <c r="R15" s="1051"/>
      <c r="S15" s="1051"/>
    </row>
    <row r="16" spans="1:19">
      <c r="A16" s="1071"/>
      <c r="B16" s="1051"/>
      <c r="C16" s="1051"/>
      <c r="D16" s="1051"/>
      <c r="E16" s="1051"/>
      <c r="F16" s="1051"/>
      <c r="G16" s="1051"/>
      <c r="H16" s="1051"/>
      <c r="I16" s="1051"/>
      <c r="J16" s="1051"/>
      <c r="K16" s="1051"/>
      <c r="L16" s="1051"/>
      <c r="M16" s="1051"/>
      <c r="N16" s="1051"/>
      <c r="O16" s="1051"/>
      <c r="P16" s="1051"/>
      <c r="Q16" s="1051"/>
      <c r="R16" s="1051"/>
      <c r="S16" s="1051"/>
    </row>
    <row r="17" spans="1:19">
      <c r="A17" s="1081">
        <v>2.0099999999999998</v>
      </c>
      <c r="B17" s="843" t="s">
        <v>1084</v>
      </c>
      <c r="C17" s="1051">
        <f t="shared" ref="C17:C87" si="0">SUM(M17:O17)</f>
        <v>486888.65999999922</v>
      </c>
      <c r="D17" s="1051">
        <f t="shared" ref="D17:D87" si="1">SUM(Q17:S17)</f>
        <v>486888.66</v>
      </c>
      <c r="E17" s="1051"/>
      <c r="F17" s="1051"/>
      <c r="G17" s="1051">
        <f t="shared" ref="G17:G87" si="2">ROUND(SUM(C17:F17)/2,0)</f>
        <v>486889</v>
      </c>
      <c r="H17" s="1051"/>
      <c r="I17" s="1051">
        <f t="shared" ref="I17:K40" si="3">(M17+Q17)/2</f>
        <v>0</v>
      </c>
      <c r="J17" s="1051">
        <f t="shared" si="3"/>
        <v>142065.45999999996</v>
      </c>
      <c r="K17" s="1051">
        <f t="shared" si="3"/>
        <v>344823.1999999996</v>
      </c>
      <c r="L17" s="1051"/>
      <c r="M17" s="843">
        <v>0</v>
      </c>
      <c r="N17" s="843">
        <v>142065.46</v>
      </c>
      <c r="O17" s="843">
        <v>344823.19999999925</v>
      </c>
      <c r="P17" s="1051"/>
      <c r="Q17" s="843">
        <v>0</v>
      </c>
      <c r="R17" s="843">
        <v>142065.45999999996</v>
      </c>
      <c r="S17" s="843">
        <v>344823.2</v>
      </c>
    </row>
    <row r="18" spans="1:19">
      <c r="A18" s="1081">
        <f>A17+0.01</f>
        <v>2.0199999999999996</v>
      </c>
      <c r="B18" s="843" t="s">
        <v>1085</v>
      </c>
      <c r="C18" s="1051">
        <f t="shared" si="0"/>
        <v>22934321.189999998</v>
      </c>
      <c r="D18" s="1051">
        <f t="shared" si="1"/>
        <v>24055094.75</v>
      </c>
      <c r="E18" s="1051"/>
      <c r="F18" s="1051"/>
      <c r="G18" s="1051">
        <f t="shared" si="2"/>
        <v>23494708</v>
      </c>
      <c r="H18" s="1051"/>
      <c r="I18" s="1051">
        <f t="shared" si="3"/>
        <v>0</v>
      </c>
      <c r="J18" s="1051">
        <f t="shared" si="3"/>
        <v>11179033.48</v>
      </c>
      <c r="K18" s="1051">
        <f t="shared" si="3"/>
        <v>12315674.489999998</v>
      </c>
      <c r="L18" s="1051"/>
      <c r="M18" s="843">
        <v>0</v>
      </c>
      <c r="N18" s="843">
        <v>10884263.060000001</v>
      </c>
      <c r="O18" s="843">
        <v>12050058.129999999</v>
      </c>
      <c r="P18" s="1051"/>
      <c r="Q18" s="843">
        <v>0</v>
      </c>
      <c r="R18" s="843">
        <v>11473803.900000002</v>
      </c>
      <c r="S18" s="843">
        <v>12581290.849999998</v>
      </c>
    </row>
    <row r="19" spans="1:19">
      <c r="A19" s="1081">
        <f t="shared" ref="A19:A82" si="4">A18+0.01</f>
        <v>2.0299999999999994</v>
      </c>
      <c r="B19" s="843" t="s">
        <v>1086</v>
      </c>
      <c r="C19" s="1051">
        <f t="shared" si="0"/>
        <v>18567882.960000001</v>
      </c>
      <c r="D19" s="1051">
        <f t="shared" si="1"/>
        <v>23336485.469999999</v>
      </c>
      <c r="E19" s="1051"/>
      <c r="F19" s="1051"/>
      <c r="G19" s="1051">
        <f t="shared" si="2"/>
        <v>20952184</v>
      </c>
      <c r="H19" s="1051"/>
      <c r="I19" s="1051">
        <f t="shared" si="3"/>
        <v>0</v>
      </c>
      <c r="J19" s="1051">
        <f t="shared" si="3"/>
        <v>2298657.1149999998</v>
      </c>
      <c r="K19" s="1051">
        <f t="shared" si="3"/>
        <v>18653527.100000001</v>
      </c>
      <c r="L19" s="1051"/>
      <c r="M19" s="843">
        <v>0</v>
      </c>
      <c r="N19" s="843">
        <v>2005476.22</v>
      </c>
      <c r="O19" s="843">
        <v>16562406.74</v>
      </c>
      <c r="P19" s="1051"/>
      <c r="Q19" s="843">
        <v>0</v>
      </c>
      <c r="R19" s="843">
        <v>2591838.0099999998</v>
      </c>
      <c r="S19" s="843">
        <v>20744647.460000001</v>
      </c>
    </row>
    <row r="20" spans="1:19">
      <c r="A20" s="1081">
        <f t="shared" si="4"/>
        <v>2.0399999999999991</v>
      </c>
      <c r="B20" s="843" t="s">
        <v>1087</v>
      </c>
      <c r="C20" s="1051">
        <f t="shared" si="0"/>
        <v>5061878.4000000004</v>
      </c>
      <c r="D20" s="1051">
        <f t="shared" si="1"/>
        <v>5043154.67</v>
      </c>
      <c r="E20" s="1051"/>
      <c r="F20" s="1051"/>
      <c r="G20" s="1051">
        <f t="shared" si="2"/>
        <v>5052517</v>
      </c>
      <c r="H20" s="1051"/>
      <c r="I20" s="1051">
        <f t="shared" si="3"/>
        <v>0</v>
      </c>
      <c r="J20" s="1051">
        <f t="shared" si="3"/>
        <v>0</v>
      </c>
      <c r="K20" s="1051">
        <f t="shared" si="3"/>
        <v>5052516.5350000001</v>
      </c>
      <c r="L20" s="1051"/>
      <c r="M20" s="843">
        <v>0</v>
      </c>
      <c r="N20" s="843">
        <v>0</v>
      </c>
      <c r="O20" s="843">
        <v>5061878.4000000004</v>
      </c>
      <c r="P20" s="1051"/>
      <c r="Q20" s="843">
        <v>0</v>
      </c>
      <c r="R20" s="843">
        <v>0</v>
      </c>
      <c r="S20" s="843">
        <v>5043154.67</v>
      </c>
    </row>
    <row r="21" spans="1:19">
      <c r="A21" s="1081">
        <f t="shared" si="4"/>
        <v>2.0499999999999989</v>
      </c>
      <c r="B21" s="843" t="s">
        <v>1088</v>
      </c>
      <c r="C21" s="1051">
        <f t="shared" si="0"/>
        <v>0</v>
      </c>
      <c r="D21" s="1051">
        <f t="shared" si="1"/>
        <v>0</v>
      </c>
      <c r="E21" s="1051"/>
      <c r="F21" s="1051"/>
      <c r="G21" s="1051">
        <f t="shared" si="2"/>
        <v>0</v>
      </c>
      <c r="H21" s="1051"/>
      <c r="I21" s="1051">
        <f t="shared" si="3"/>
        <v>0</v>
      </c>
      <c r="J21" s="1051">
        <f t="shared" si="3"/>
        <v>0</v>
      </c>
      <c r="K21" s="1051">
        <f t="shared" si="3"/>
        <v>0</v>
      </c>
      <c r="L21" s="1051"/>
      <c r="M21" s="843">
        <v>0</v>
      </c>
      <c r="N21" s="843">
        <v>0</v>
      </c>
      <c r="O21" s="843">
        <v>0</v>
      </c>
      <c r="P21" s="1051"/>
      <c r="Q21" s="843">
        <v>0</v>
      </c>
      <c r="R21" s="843">
        <v>0</v>
      </c>
      <c r="S21" s="843">
        <v>0</v>
      </c>
    </row>
    <row r="22" spans="1:19">
      <c r="A22" s="1081">
        <f t="shared" si="4"/>
        <v>2.0599999999999987</v>
      </c>
      <c r="B22" s="843" t="s">
        <v>1089</v>
      </c>
      <c r="C22" s="1051">
        <f t="shared" si="0"/>
        <v>1491489</v>
      </c>
      <c r="D22" s="1051">
        <f t="shared" si="1"/>
        <v>525911.42999999993</v>
      </c>
      <c r="E22" s="1051"/>
      <c r="F22" s="1051"/>
      <c r="G22" s="1051">
        <f t="shared" si="2"/>
        <v>1008700</v>
      </c>
      <c r="H22" s="1051"/>
      <c r="I22" s="1051">
        <f t="shared" si="3"/>
        <v>0</v>
      </c>
      <c r="J22" s="1051">
        <f t="shared" si="3"/>
        <v>45809.139999999985</v>
      </c>
      <c r="K22" s="1051">
        <f t="shared" si="3"/>
        <v>962891.07499999995</v>
      </c>
      <c r="L22" s="1051"/>
      <c r="M22" s="843">
        <v>0</v>
      </c>
      <c r="N22" s="843">
        <v>305313.71999999997</v>
      </c>
      <c r="O22" s="843">
        <v>1186175.28</v>
      </c>
      <c r="P22" s="1051"/>
      <c r="Q22" s="843">
        <v>0</v>
      </c>
      <c r="R22" s="843">
        <v>-213695.44</v>
      </c>
      <c r="S22" s="843">
        <v>739606.87</v>
      </c>
    </row>
    <row r="23" spans="1:19">
      <c r="A23" s="1081">
        <f t="shared" si="4"/>
        <v>2.0699999999999985</v>
      </c>
      <c r="B23" s="843" t="s">
        <v>1090</v>
      </c>
      <c r="C23" s="1051">
        <f t="shared" si="0"/>
        <v>0</v>
      </c>
      <c r="D23" s="1051">
        <f t="shared" si="1"/>
        <v>0</v>
      </c>
      <c r="E23" s="1051"/>
      <c r="F23" s="1051"/>
      <c r="G23" s="1051">
        <f t="shared" si="2"/>
        <v>0</v>
      </c>
      <c r="H23" s="1051"/>
      <c r="I23" s="1051">
        <f t="shared" si="3"/>
        <v>0</v>
      </c>
      <c r="J23" s="1051">
        <f t="shared" si="3"/>
        <v>0</v>
      </c>
      <c r="K23" s="1051">
        <f t="shared" si="3"/>
        <v>0</v>
      </c>
      <c r="L23" s="1051"/>
      <c r="M23" s="843">
        <v>0</v>
      </c>
      <c r="N23" s="843">
        <v>0</v>
      </c>
      <c r="O23" s="843">
        <v>0</v>
      </c>
      <c r="P23" s="1051"/>
      <c r="Q23" s="843">
        <v>0</v>
      </c>
      <c r="R23" s="843">
        <v>0</v>
      </c>
      <c r="S23" s="843">
        <v>0</v>
      </c>
    </row>
    <row r="24" spans="1:19">
      <c r="A24" s="1081">
        <f t="shared" si="4"/>
        <v>2.0799999999999983</v>
      </c>
      <c r="B24" s="843" t="s">
        <v>1091</v>
      </c>
      <c r="C24" s="1051">
        <f t="shared" si="0"/>
        <v>0</v>
      </c>
      <c r="D24" s="1051">
        <f t="shared" si="1"/>
        <v>0</v>
      </c>
      <c r="E24" s="1051"/>
      <c r="F24" s="1051"/>
      <c r="G24" s="1051">
        <f t="shared" si="2"/>
        <v>0</v>
      </c>
      <c r="H24" s="1051"/>
      <c r="I24" s="1051">
        <f t="shared" si="3"/>
        <v>0</v>
      </c>
      <c r="J24" s="1051">
        <f t="shared" si="3"/>
        <v>0</v>
      </c>
      <c r="K24" s="1051">
        <f t="shared" si="3"/>
        <v>0</v>
      </c>
      <c r="L24" s="1051"/>
      <c r="M24" s="843">
        <v>0</v>
      </c>
      <c r="N24" s="843">
        <v>0</v>
      </c>
      <c r="O24" s="843">
        <v>0</v>
      </c>
      <c r="P24" s="1051"/>
      <c r="Q24" s="843">
        <v>0</v>
      </c>
      <c r="R24" s="843">
        <v>0</v>
      </c>
      <c r="S24" s="843">
        <v>0</v>
      </c>
    </row>
    <row r="25" spans="1:19">
      <c r="A25" s="1081">
        <f t="shared" si="4"/>
        <v>2.0899999999999981</v>
      </c>
      <c r="B25" s="843" t="s">
        <v>1092</v>
      </c>
      <c r="C25" s="1056">
        <f t="shared" si="0"/>
        <v>0</v>
      </c>
      <c r="D25" s="1056">
        <f t="shared" si="1"/>
        <v>0</v>
      </c>
      <c r="E25" s="1056"/>
      <c r="F25" s="1056"/>
      <c r="G25" s="1056">
        <f t="shared" si="2"/>
        <v>0</v>
      </c>
      <c r="H25" s="1056"/>
      <c r="I25" s="1056">
        <f t="shared" si="3"/>
        <v>0</v>
      </c>
      <c r="J25" s="1056">
        <f t="shared" si="3"/>
        <v>0</v>
      </c>
      <c r="K25" s="1056">
        <f t="shared" si="3"/>
        <v>0</v>
      </c>
      <c r="L25" s="1056"/>
      <c r="M25" s="843">
        <v>0</v>
      </c>
      <c r="N25" s="843">
        <v>0</v>
      </c>
      <c r="O25" s="843">
        <v>0</v>
      </c>
      <c r="P25" s="1056"/>
      <c r="Q25" s="843">
        <v>0</v>
      </c>
      <c r="R25" s="843">
        <v>0</v>
      </c>
      <c r="S25" s="843">
        <v>0</v>
      </c>
    </row>
    <row r="26" spans="1:19">
      <c r="A26" s="1081">
        <f t="shared" si="4"/>
        <v>2.0999999999999979</v>
      </c>
      <c r="B26" s="843" t="s">
        <v>1093</v>
      </c>
      <c r="C26" s="1051">
        <f t="shared" si="0"/>
        <v>0</v>
      </c>
      <c r="D26" s="1051">
        <f t="shared" si="1"/>
        <v>0</v>
      </c>
      <c r="E26" s="1051"/>
      <c r="F26" s="1051"/>
      <c r="G26" s="1051">
        <f t="shared" si="2"/>
        <v>0</v>
      </c>
      <c r="H26" s="1051"/>
      <c r="I26" s="1051">
        <f t="shared" si="3"/>
        <v>0</v>
      </c>
      <c r="J26" s="1051">
        <f t="shared" si="3"/>
        <v>0</v>
      </c>
      <c r="K26" s="1051">
        <f t="shared" si="3"/>
        <v>0</v>
      </c>
      <c r="L26" s="1051"/>
      <c r="M26" s="843">
        <v>0</v>
      </c>
      <c r="N26" s="843">
        <v>0</v>
      </c>
      <c r="O26" s="843">
        <v>0</v>
      </c>
      <c r="P26" s="1051"/>
      <c r="Q26" s="843">
        <v>0</v>
      </c>
      <c r="R26" s="843">
        <v>0</v>
      </c>
      <c r="S26" s="843">
        <v>0</v>
      </c>
    </row>
    <row r="27" spans="1:19">
      <c r="A27" s="1081">
        <f t="shared" si="4"/>
        <v>2.1099999999999977</v>
      </c>
      <c r="B27" s="843" t="s">
        <v>1260</v>
      </c>
      <c r="C27" s="1051">
        <f t="shared" ref="C27" si="5">SUM(M27:O27)</f>
        <v>-339184.82</v>
      </c>
      <c r="D27" s="1051">
        <f t="shared" ref="D27" si="6">SUM(Q27:S27)</f>
        <v>-387265.83</v>
      </c>
      <c r="E27" s="1051"/>
      <c r="F27" s="1051"/>
      <c r="G27" s="1051">
        <f t="shared" ref="G27" si="7">ROUND(SUM(C27:F27)/2,0)</f>
        <v>-363225</v>
      </c>
      <c r="H27" s="1051"/>
      <c r="I27" s="1051">
        <f t="shared" ref="I27" si="8">(M27+Q27)/2</f>
        <v>0</v>
      </c>
      <c r="J27" s="1051">
        <f t="shared" ref="J27" si="9">(N27+R27)/2</f>
        <v>-54584.665000000001</v>
      </c>
      <c r="K27" s="1051">
        <f t="shared" ref="K27" si="10">(O27+S27)/2</f>
        <v>-308640.66000000003</v>
      </c>
      <c r="L27" s="1051"/>
      <c r="M27" s="843">
        <v>0</v>
      </c>
      <c r="N27" s="843">
        <v>-52496.58</v>
      </c>
      <c r="O27" s="843">
        <v>-286688.24</v>
      </c>
      <c r="P27" s="1051"/>
      <c r="Q27" s="843">
        <v>0</v>
      </c>
      <c r="R27" s="843">
        <v>-56672.75</v>
      </c>
      <c r="S27" s="843">
        <v>-330593.08</v>
      </c>
    </row>
    <row r="28" spans="1:19">
      <c r="A28" s="1081">
        <f t="shared" si="4"/>
        <v>2.1199999999999974</v>
      </c>
      <c r="B28" s="843" t="s">
        <v>1094</v>
      </c>
      <c r="C28" s="1051">
        <f t="shared" si="0"/>
        <v>0</v>
      </c>
      <c r="D28" s="1051">
        <f t="shared" si="1"/>
        <v>0</v>
      </c>
      <c r="E28" s="1051"/>
      <c r="F28" s="1051"/>
      <c r="G28" s="1051">
        <f t="shared" si="2"/>
        <v>0</v>
      </c>
      <c r="H28" s="1051"/>
      <c r="I28" s="1051">
        <f t="shared" si="3"/>
        <v>0</v>
      </c>
      <c r="J28" s="1051">
        <f t="shared" si="3"/>
        <v>0</v>
      </c>
      <c r="K28" s="1051">
        <f t="shared" si="3"/>
        <v>0</v>
      </c>
      <c r="L28" s="1051"/>
      <c r="M28" s="843">
        <v>0</v>
      </c>
      <c r="N28" s="843">
        <v>0</v>
      </c>
      <c r="O28" s="843">
        <v>0</v>
      </c>
      <c r="P28" s="1051"/>
      <c r="Q28" s="843">
        <v>0</v>
      </c>
      <c r="R28" s="843">
        <v>0</v>
      </c>
      <c r="S28" s="843">
        <v>0</v>
      </c>
    </row>
    <row r="29" spans="1:19">
      <c r="A29" s="1081">
        <f t="shared" si="4"/>
        <v>2.1299999999999972</v>
      </c>
      <c r="B29" s="843" t="s">
        <v>1095</v>
      </c>
      <c r="C29" s="1051">
        <f t="shared" si="0"/>
        <v>37739.490000000005</v>
      </c>
      <c r="D29" s="1051">
        <f t="shared" si="1"/>
        <v>31005.84</v>
      </c>
      <c r="E29" s="1051"/>
      <c r="F29" s="1051"/>
      <c r="G29" s="1051">
        <f t="shared" si="2"/>
        <v>34373</v>
      </c>
      <c r="H29" s="1051"/>
      <c r="I29" s="1051">
        <f t="shared" si="3"/>
        <v>0</v>
      </c>
      <c r="J29" s="1051">
        <f t="shared" si="3"/>
        <v>1871.675</v>
      </c>
      <c r="K29" s="1051">
        <f t="shared" si="3"/>
        <v>32500.99</v>
      </c>
      <c r="L29" s="1051"/>
      <c r="M29" s="843">
        <v>0</v>
      </c>
      <c r="N29" s="843">
        <v>2182.41</v>
      </c>
      <c r="O29" s="843">
        <v>35557.08</v>
      </c>
      <c r="P29" s="1051"/>
      <c r="Q29" s="843">
        <v>0</v>
      </c>
      <c r="R29" s="843">
        <v>1560.94</v>
      </c>
      <c r="S29" s="843">
        <v>29444.9</v>
      </c>
    </row>
    <row r="30" spans="1:19">
      <c r="A30" s="1081">
        <f t="shared" si="4"/>
        <v>2.139999999999997</v>
      </c>
      <c r="B30" s="843" t="s">
        <v>1096</v>
      </c>
      <c r="C30" s="1051">
        <f t="shared" si="0"/>
        <v>38372.22</v>
      </c>
      <c r="D30" s="1051">
        <f t="shared" si="1"/>
        <v>55090.96</v>
      </c>
      <c r="E30" s="1051"/>
      <c r="F30" s="1051"/>
      <c r="G30" s="1051">
        <f t="shared" si="2"/>
        <v>46732</v>
      </c>
      <c r="H30" s="1051"/>
      <c r="I30" s="1051">
        <f t="shared" si="3"/>
        <v>0</v>
      </c>
      <c r="J30" s="1051">
        <f t="shared" si="3"/>
        <v>0</v>
      </c>
      <c r="K30" s="1051">
        <f t="shared" si="3"/>
        <v>46731.59</v>
      </c>
      <c r="L30" s="1051"/>
      <c r="M30" s="843">
        <v>0</v>
      </c>
      <c r="N30" s="843">
        <v>0</v>
      </c>
      <c r="O30" s="843">
        <v>38372.22</v>
      </c>
      <c r="P30" s="1051"/>
      <c r="Q30" s="843">
        <v>0</v>
      </c>
      <c r="R30" s="843">
        <v>0</v>
      </c>
      <c r="S30" s="843">
        <v>55090.96</v>
      </c>
    </row>
    <row r="31" spans="1:19">
      <c r="A31" s="1081">
        <f t="shared" si="4"/>
        <v>2.1499999999999968</v>
      </c>
      <c r="B31" s="843" t="s">
        <v>1097</v>
      </c>
      <c r="C31" s="1051">
        <f t="shared" si="0"/>
        <v>79397.850000000006</v>
      </c>
      <c r="D31" s="1051">
        <f t="shared" si="1"/>
        <v>92484.21</v>
      </c>
      <c r="E31" s="1051"/>
      <c r="F31" s="1051"/>
      <c r="G31" s="1051">
        <f t="shared" si="2"/>
        <v>85941</v>
      </c>
      <c r="H31" s="1051"/>
      <c r="I31" s="1051">
        <f t="shared" si="3"/>
        <v>0</v>
      </c>
      <c r="J31" s="1051">
        <f t="shared" si="3"/>
        <v>0</v>
      </c>
      <c r="K31" s="1051">
        <f t="shared" si="3"/>
        <v>85941.03</v>
      </c>
      <c r="L31" s="1051"/>
      <c r="M31" s="843">
        <v>0</v>
      </c>
      <c r="N31" s="843">
        <v>0</v>
      </c>
      <c r="O31" s="843">
        <v>79397.850000000006</v>
      </c>
      <c r="P31" s="1051"/>
      <c r="Q31" s="843">
        <v>0</v>
      </c>
      <c r="R31" s="843">
        <v>0</v>
      </c>
      <c r="S31" s="843">
        <v>92484.21</v>
      </c>
    </row>
    <row r="32" spans="1:19">
      <c r="A32" s="1081">
        <f t="shared" si="4"/>
        <v>2.1599999999999966</v>
      </c>
      <c r="B32" s="843" t="s">
        <v>1098</v>
      </c>
      <c r="C32" s="1051">
        <f t="shared" si="0"/>
        <v>262122.93</v>
      </c>
      <c r="D32" s="1051">
        <f t="shared" si="1"/>
        <v>163451.45000000001</v>
      </c>
      <c r="E32" s="1051"/>
      <c r="F32" s="1051"/>
      <c r="G32" s="1051">
        <f t="shared" si="2"/>
        <v>212787</v>
      </c>
      <c r="H32" s="1051"/>
      <c r="I32" s="1051">
        <f t="shared" si="3"/>
        <v>0</v>
      </c>
      <c r="J32" s="1051">
        <f t="shared" si="3"/>
        <v>0</v>
      </c>
      <c r="K32" s="1051">
        <f t="shared" si="3"/>
        <v>212787.19</v>
      </c>
      <c r="L32" s="1051"/>
      <c r="M32" s="843">
        <v>0</v>
      </c>
      <c r="N32" s="843">
        <v>0</v>
      </c>
      <c r="O32" s="843">
        <v>262122.93</v>
      </c>
      <c r="P32" s="1051"/>
      <c r="Q32" s="843">
        <v>0</v>
      </c>
      <c r="R32" s="843">
        <v>0</v>
      </c>
      <c r="S32" s="843">
        <v>163451.45000000001</v>
      </c>
    </row>
    <row r="33" spans="1:19">
      <c r="A33" s="1081">
        <f t="shared" si="4"/>
        <v>2.1699999999999964</v>
      </c>
      <c r="B33" s="843" t="s">
        <v>1099</v>
      </c>
      <c r="C33" s="1051">
        <f t="shared" si="0"/>
        <v>0</v>
      </c>
      <c r="D33" s="1051">
        <f t="shared" si="1"/>
        <v>0</v>
      </c>
      <c r="E33" s="1051"/>
      <c r="F33" s="1051"/>
      <c r="G33" s="1051">
        <f t="shared" si="2"/>
        <v>0</v>
      </c>
      <c r="H33" s="1051"/>
      <c r="I33" s="1051">
        <f t="shared" si="3"/>
        <v>0</v>
      </c>
      <c r="J33" s="1051">
        <f t="shared" si="3"/>
        <v>0</v>
      </c>
      <c r="K33" s="1051">
        <f t="shared" si="3"/>
        <v>0</v>
      </c>
      <c r="L33" s="1051"/>
      <c r="M33" s="843">
        <v>0</v>
      </c>
      <c r="N33" s="843">
        <v>0</v>
      </c>
      <c r="O33" s="843">
        <v>0</v>
      </c>
      <c r="P33" s="1051"/>
      <c r="Q33" s="843">
        <v>0</v>
      </c>
      <c r="R33" s="843">
        <v>0</v>
      </c>
      <c r="S33" s="843">
        <v>0</v>
      </c>
    </row>
    <row r="34" spans="1:19">
      <c r="A34" s="1081">
        <f t="shared" si="4"/>
        <v>2.1799999999999962</v>
      </c>
      <c r="B34" s="843" t="s">
        <v>1100</v>
      </c>
      <c r="C34" s="1051">
        <f t="shared" si="0"/>
        <v>-0.01</v>
      </c>
      <c r="D34" s="1051">
        <f t="shared" si="1"/>
        <v>-0.01</v>
      </c>
      <c r="E34" s="1051"/>
      <c r="F34" s="1051"/>
      <c r="G34" s="1051">
        <f t="shared" si="2"/>
        <v>0</v>
      </c>
      <c r="H34" s="1051"/>
      <c r="I34" s="1051">
        <f t="shared" si="3"/>
        <v>0</v>
      </c>
      <c r="J34" s="1051">
        <f t="shared" si="3"/>
        <v>0</v>
      </c>
      <c r="K34" s="1051">
        <f t="shared" si="3"/>
        <v>-0.01</v>
      </c>
      <c r="L34" s="1051"/>
      <c r="M34" s="843">
        <v>0</v>
      </c>
      <c r="N34" s="843">
        <v>0</v>
      </c>
      <c r="O34" s="843">
        <v>-0.01</v>
      </c>
      <c r="P34" s="1051"/>
      <c r="Q34" s="843">
        <v>0</v>
      </c>
      <c r="R34" s="843">
        <v>0</v>
      </c>
      <c r="S34" s="843">
        <v>-0.01</v>
      </c>
    </row>
    <row r="35" spans="1:19">
      <c r="A35" s="1081">
        <f t="shared" si="4"/>
        <v>2.1899999999999959</v>
      </c>
      <c r="B35" s="843" t="s">
        <v>1101</v>
      </c>
      <c r="C35" s="1051">
        <f t="shared" si="0"/>
        <v>7291.42</v>
      </c>
      <c r="D35" s="1051">
        <f t="shared" si="1"/>
        <v>-302590.46999999997</v>
      </c>
      <c r="E35" s="1051"/>
      <c r="F35" s="1051"/>
      <c r="G35" s="1051">
        <f t="shared" si="2"/>
        <v>-147650</v>
      </c>
      <c r="H35" s="1051"/>
      <c r="I35" s="1051">
        <f t="shared" si="3"/>
        <v>0</v>
      </c>
      <c r="J35" s="1051">
        <f t="shared" si="3"/>
        <v>0</v>
      </c>
      <c r="K35" s="1051">
        <f t="shared" si="3"/>
        <v>-147649.52499999999</v>
      </c>
      <c r="L35" s="1051"/>
      <c r="M35" s="843">
        <v>0</v>
      </c>
      <c r="N35" s="843">
        <v>0</v>
      </c>
      <c r="O35" s="843">
        <v>7291.42</v>
      </c>
      <c r="P35" s="1051"/>
      <c r="Q35" s="843">
        <v>0</v>
      </c>
      <c r="R35" s="843">
        <v>0</v>
      </c>
      <c r="S35" s="843">
        <v>-302590.46999999997</v>
      </c>
    </row>
    <row r="36" spans="1:19">
      <c r="A36" s="1081">
        <f t="shared" si="4"/>
        <v>2.1999999999999957</v>
      </c>
      <c r="B36" s="843" t="s">
        <v>1102</v>
      </c>
      <c r="C36" s="1051">
        <f t="shared" si="0"/>
        <v>0</v>
      </c>
      <c r="D36" s="1051">
        <f t="shared" si="1"/>
        <v>0</v>
      </c>
      <c r="E36" s="1051"/>
      <c r="F36" s="1051"/>
      <c r="G36" s="1051">
        <f t="shared" si="2"/>
        <v>0</v>
      </c>
      <c r="H36" s="1051"/>
      <c r="I36" s="1051">
        <f t="shared" si="3"/>
        <v>0</v>
      </c>
      <c r="J36" s="1051">
        <f t="shared" si="3"/>
        <v>0</v>
      </c>
      <c r="K36" s="1051">
        <f t="shared" si="3"/>
        <v>0</v>
      </c>
      <c r="L36" s="1051"/>
      <c r="M36" s="843">
        <v>0</v>
      </c>
      <c r="N36" s="843">
        <v>0</v>
      </c>
      <c r="O36" s="843">
        <v>0</v>
      </c>
      <c r="P36" s="1051"/>
      <c r="Q36" s="843">
        <v>0</v>
      </c>
      <c r="R36" s="843">
        <v>0</v>
      </c>
      <c r="S36" s="843">
        <v>0</v>
      </c>
    </row>
    <row r="37" spans="1:19">
      <c r="A37" s="1081">
        <f t="shared" si="4"/>
        <v>2.2099999999999955</v>
      </c>
      <c r="B37" s="843" t="s">
        <v>1103</v>
      </c>
      <c r="C37" s="1051">
        <f t="shared" si="0"/>
        <v>0</v>
      </c>
      <c r="D37" s="1051">
        <f t="shared" si="1"/>
        <v>0</v>
      </c>
      <c r="E37" s="1051"/>
      <c r="F37" s="1051"/>
      <c r="G37" s="1051">
        <f t="shared" si="2"/>
        <v>0</v>
      </c>
      <c r="H37" s="1051"/>
      <c r="I37" s="1051">
        <f t="shared" si="3"/>
        <v>0</v>
      </c>
      <c r="J37" s="1051">
        <f t="shared" si="3"/>
        <v>0</v>
      </c>
      <c r="K37" s="1051">
        <f t="shared" si="3"/>
        <v>0</v>
      </c>
      <c r="L37" s="1051"/>
      <c r="M37" s="843">
        <v>0</v>
      </c>
      <c r="N37" s="843">
        <v>0</v>
      </c>
      <c r="O37" s="843">
        <v>0</v>
      </c>
      <c r="P37" s="1051"/>
      <c r="Q37" s="843">
        <v>0</v>
      </c>
      <c r="R37" s="843">
        <v>0</v>
      </c>
      <c r="S37" s="843">
        <v>0</v>
      </c>
    </row>
    <row r="38" spans="1:19">
      <c r="A38" s="1081">
        <f t="shared" si="4"/>
        <v>2.2199999999999953</v>
      </c>
      <c r="B38" s="843" t="s">
        <v>1104</v>
      </c>
      <c r="C38" s="1051">
        <f t="shared" si="0"/>
        <v>134124.72</v>
      </c>
      <c r="D38" s="1051">
        <f t="shared" si="1"/>
        <v>110287.27</v>
      </c>
      <c r="E38" s="1051"/>
      <c r="F38" s="1051"/>
      <c r="G38" s="1051">
        <f t="shared" si="2"/>
        <v>122206</v>
      </c>
      <c r="H38" s="1051"/>
      <c r="I38" s="1051">
        <f t="shared" si="3"/>
        <v>0</v>
      </c>
      <c r="J38" s="1051">
        <f t="shared" si="3"/>
        <v>0</v>
      </c>
      <c r="K38" s="1051">
        <f t="shared" si="3"/>
        <v>122205.995</v>
      </c>
      <c r="L38" s="1051"/>
      <c r="M38" s="843">
        <v>0</v>
      </c>
      <c r="N38" s="843">
        <v>0</v>
      </c>
      <c r="O38" s="843">
        <v>134124.72</v>
      </c>
      <c r="P38" s="1051"/>
      <c r="Q38" s="843">
        <v>0</v>
      </c>
      <c r="R38" s="843">
        <v>0</v>
      </c>
      <c r="S38" s="843">
        <v>110287.27</v>
      </c>
    </row>
    <row r="39" spans="1:19">
      <c r="A39" s="1081">
        <f t="shared" si="4"/>
        <v>2.2299999999999951</v>
      </c>
      <c r="B39" s="843" t="s">
        <v>1105</v>
      </c>
      <c r="C39" s="1051">
        <f t="shared" si="0"/>
        <v>0</v>
      </c>
      <c r="D39" s="1051">
        <f t="shared" si="1"/>
        <v>0</v>
      </c>
      <c r="E39" s="1051"/>
      <c r="F39" s="1051"/>
      <c r="G39" s="1051">
        <f t="shared" si="2"/>
        <v>0</v>
      </c>
      <c r="H39" s="1051"/>
      <c r="I39" s="1051">
        <f t="shared" si="3"/>
        <v>0</v>
      </c>
      <c r="J39" s="1051">
        <f t="shared" si="3"/>
        <v>0</v>
      </c>
      <c r="K39" s="1051">
        <f t="shared" si="3"/>
        <v>0</v>
      </c>
      <c r="L39" s="1051"/>
      <c r="M39" s="843">
        <v>0</v>
      </c>
      <c r="N39" s="843">
        <v>0</v>
      </c>
      <c r="O39" s="843">
        <v>0</v>
      </c>
      <c r="P39" s="1051"/>
      <c r="Q39" s="843">
        <v>0</v>
      </c>
      <c r="R39" s="843">
        <v>0</v>
      </c>
      <c r="S39" s="843">
        <v>0</v>
      </c>
    </row>
    <row r="40" spans="1:19">
      <c r="A40" s="1081">
        <f t="shared" si="4"/>
        <v>2.2399999999999949</v>
      </c>
      <c r="B40" s="843" t="s">
        <v>1106</v>
      </c>
      <c r="C40" s="1051">
        <f t="shared" ref="C40:C69" si="11">SUM(M40:O40)</f>
        <v>4864911.29</v>
      </c>
      <c r="D40" s="1051">
        <f t="shared" ref="D40:D69" si="12">SUM(Q40:S40)</f>
        <v>3664210.83</v>
      </c>
      <c r="E40" s="1051"/>
      <c r="F40" s="1051"/>
      <c r="G40" s="1051">
        <f t="shared" ref="G40:G69" si="13">ROUND(SUM(C40:F40)/2,0)</f>
        <v>4264561</v>
      </c>
      <c r="H40" s="1051"/>
      <c r="I40" s="1051">
        <f t="shared" si="3"/>
        <v>0</v>
      </c>
      <c r="J40" s="1051">
        <f t="shared" si="3"/>
        <v>73205.8</v>
      </c>
      <c r="K40" s="1051">
        <f t="shared" si="3"/>
        <v>4191355.2600000002</v>
      </c>
      <c r="L40" s="1051"/>
      <c r="M40" s="843">
        <v>0</v>
      </c>
      <c r="N40" s="843">
        <v>-27800.74</v>
      </c>
      <c r="O40" s="843">
        <v>4892712.03</v>
      </c>
      <c r="P40" s="1051"/>
      <c r="Q40" s="843">
        <v>0</v>
      </c>
      <c r="R40" s="843">
        <v>174212.34</v>
      </c>
      <c r="S40" s="843">
        <v>3489998.49</v>
      </c>
    </row>
    <row r="41" spans="1:19">
      <c r="A41" s="1081">
        <f t="shared" si="4"/>
        <v>2.2499999999999947</v>
      </c>
      <c r="B41" s="843" t="s">
        <v>1107</v>
      </c>
      <c r="C41" s="1051">
        <f t="shared" si="11"/>
        <v>0</v>
      </c>
      <c r="D41" s="1051">
        <f t="shared" si="12"/>
        <v>0</v>
      </c>
      <c r="E41" s="1051"/>
      <c r="F41" s="1051"/>
      <c r="G41" s="1051">
        <f t="shared" si="13"/>
        <v>0</v>
      </c>
      <c r="H41" s="1051"/>
      <c r="I41" s="1051">
        <f t="shared" ref="I41:I69" si="14">(M41+Q41)/2</f>
        <v>0</v>
      </c>
      <c r="J41" s="1051">
        <f t="shared" ref="J41:J69" si="15">(N41+R41)/2</f>
        <v>0</v>
      </c>
      <c r="K41" s="1051">
        <f t="shared" ref="K41:K69" si="16">(O41+S41)/2</f>
        <v>0</v>
      </c>
      <c r="L41" s="1051"/>
      <c r="M41" s="843">
        <v>0</v>
      </c>
      <c r="N41" s="843">
        <v>0</v>
      </c>
      <c r="O41" s="843">
        <v>0</v>
      </c>
      <c r="P41" s="1051"/>
      <c r="Q41" s="843">
        <v>0</v>
      </c>
      <c r="R41" s="843">
        <v>0</v>
      </c>
      <c r="S41" s="843">
        <v>0</v>
      </c>
    </row>
    <row r="42" spans="1:19">
      <c r="A42" s="1081">
        <f t="shared" si="4"/>
        <v>2.2599999999999945</v>
      </c>
      <c r="B42" s="843" t="s">
        <v>1108</v>
      </c>
      <c r="C42" s="1051">
        <f t="shared" si="11"/>
        <v>2326020.81</v>
      </c>
      <c r="D42" s="1051">
        <f t="shared" si="12"/>
        <v>2714829.49</v>
      </c>
      <c r="E42" s="1051"/>
      <c r="F42" s="1051"/>
      <c r="G42" s="1051">
        <f t="shared" si="13"/>
        <v>2520425</v>
      </c>
      <c r="H42" s="1051"/>
      <c r="I42" s="1051">
        <f t="shared" si="14"/>
        <v>0</v>
      </c>
      <c r="J42" s="1051">
        <f t="shared" si="15"/>
        <v>-25454.170000000002</v>
      </c>
      <c r="K42" s="1051">
        <f t="shared" si="16"/>
        <v>2545879.3200000003</v>
      </c>
      <c r="L42" s="1051"/>
      <c r="M42" s="843">
        <v>0</v>
      </c>
      <c r="N42" s="843">
        <v>-44343.98</v>
      </c>
      <c r="O42" s="843">
        <v>2370364.79</v>
      </c>
      <c r="P42" s="1051"/>
      <c r="Q42" s="843">
        <v>0</v>
      </c>
      <c r="R42" s="843">
        <v>-6564.36</v>
      </c>
      <c r="S42" s="843">
        <v>2721393.85</v>
      </c>
    </row>
    <row r="43" spans="1:19">
      <c r="A43" s="1081">
        <f t="shared" si="4"/>
        <v>2.2699999999999942</v>
      </c>
      <c r="B43" s="843" t="s">
        <v>1109</v>
      </c>
      <c r="C43" s="1051">
        <f t="shared" si="11"/>
        <v>27839.02</v>
      </c>
      <c r="D43" s="1051">
        <f t="shared" si="12"/>
        <v>25863.86</v>
      </c>
      <c r="E43" s="1051"/>
      <c r="F43" s="1051"/>
      <c r="G43" s="1051">
        <f t="shared" si="13"/>
        <v>26851</v>
      </c>
      <c r="H43" s="1051"/>
      <c r="I43" s="1051">
        <f t="shared" si="14"/>
        <v>0</v>
      </c>
      <c r="J43" s="1051">
        <f t="shared" si="15"/>
        <v>0</v>
      </c>
      <c r="K43" s="1051">
        <f t="shared" si="16"/>
        <v>26851.440000000002</v>
      </c>
      <c r="L43" s="1051"/>
      <c r="M43" s="843">
        <v>0</v>
      </c>
      <c r="N43" s="843">
        <v>0</v>
      </c>
      <c r="O43" s="843">
        <v>27839.02</v>
      </c>
      <c r="P43" s="1051"/>
      <c r="Q43" s="843">
        <v>0</v>
      </c>
      <c r="R43" s="843">
        <v>0</v>
      </c>
      <c r="S43" s="843">
        <v>25863.86</v>
      </c>
    </row>
    <row r="44" spans="1:19">
      <c r="A44" s="1081">
        <f t="shared" si="4"/>
        <v>2.279999999999994</v>
      </c>
      <c r="B44" s="843" t="s">
        <v>1303</v>
      </c>
      <c r="C44" s="1051">
        <f t="shared" si="11"/>
        <v>0</v>
      </c>
      <c r="D44" s="1051">
        <f t="shared" si="12"/>
        <v>-14264.56</v>
      </c>
      <c r="E44" s="1051"/>
      <c r="F44" s="1051"/>
      <c r="G44" s="1051">
        <f t="shared" si="13"/>
        <v>-7132</v>
      </c>
      <c r="H44" s="1051"/>
      <c r="I44" s="1051">
        <f t="shared" si="14"/>
        <v>0</v>
      </c>
      <c r="J44" s="1051">
        <f t="shared" si="15"/>
        <v>3.5000000000000003E-2</v>
      </c>
      <c r="K44" s="1051">
        <f t="shared" si="16"/>
        <v>-7132.3149999999996</v>
      </c>
      <c r="L44" s="1051"/>
      <c r="M44" s="843">
        <v>0</v>
      </c>
      <c r="N44" s="843">
        <v>0</v>
      </c>
      <c r="O44" s="843">
        <v>0</v>
      </c>
      <c r="P44" s="1051"/>
      <c r="Q44" s="843">
        <v>0</v>
      </c>
      <c r="R44" s="843">
        <v>7.0000000000000007E-2</v>
      </c>
      <c r="S44" s="843">
        <v>-14264.63</v>
      </c>
    </row>
    <row r="45" spans="1:19">
      <c r="A45" s="1081">
        <f t="shared" si="4"/>
        <v>2.2899999999999938</v>
      </c>
      <c r="B45" s="843" t="s">
        <v>1110</v>
      </c>
      <c r="C45" s="1051">
        <f t="shared" si="11"/>
        <v>0</v>
      </c>
      <c r="D45" s="1051">
        <f t="shared" si="12"/>
        <v>0</v>
      </c>
      <c r="E45" s="1051"/>
      <c r="F45" s="1051"/>
      <c r="G45" s="1051">
        <f t="shared" si="13"/>
        <v>0</v>
      </c>
      <c r="H45" s="1051"/>
      <c r="I45" s="1051">
        <f t="shared" si="14"/>
        <v>0</v>
      </c>
      <c r="J45" s="1051">
        <f t="shared" si="15"/>
        <v>0</v>
      </c>
      <c r="K45" s="1051">
        <f t="shared" si="16"/>
        <v>0</v>
      </c>
      <c r="L45" s="1051"/>
      <c r="M45" s="843">
        <v>0</v>
      </c>
      <c r="N45" s="843">
        <v>0</v>
      </c>
      <c r="O45" s="843">
        <v>0</v>
      </c>
      <c r="P45" s="1051"/>
      <c r="Q45" s="843">
        <v>0</v>
      </c>
      <c r="R45" s="843">
        <v>0</v>
      </c>
      <c r="S45" s="843">
        <v>0</v>
      </c>
    </row>
    <row r="46" spans="1:19">
      <c r="A46" s="1081">
        <f t="shared" si="4"/>
        <v>2.2999999999999936</v>
      </c>
      <c r="B46" s="843" t="s">
        <v>1111</v>
      </c>
      <c r="C46" s="1051">
        <f t="shared" si="11"/>
        <v>210000</v>
      </c>
      <c r="D46" s="1051">
        <f t="shared" si="12"/>
        <v>0</v>
      </c>
      <c r="E46" s="1051"/>
      <c r="F46" s="1051"/>
      <c r="G46" s="1051">
        <f t="shared" si="13"/>
        <v>105000</v>
      </c>
      <c r="H46" s="1051"/>
      <c r="I46" s="1051">
        <f t="shared" si="14"/>
        <v>0</v>
      </c>
      <c r="J46" s="1051">
        <f t="shared" si="15"/>
        <v>0</v>
      </c>
      <c r="K46" s="1051">
        <f t="shared" si="16"/>
        <v>105000</v>
      </c>
      <c r="L46" s="1051"/>
      <c r="M46" s="843">
        <v>0</v>
      </c>
      <c r="N46" s="843">
        <v>0</v>
      </c>
      <c r="O46" s="843">
        <v>210000</v>
      </c>
      <c r="P46" s="1051"/>
      <c r="Q46" s="843">
        <v>0</v>
      </c>
      <c r="R46" s="843">
        <v>0</v>
      </c>
      <c r="S46" s="843">
        <v>0</v>
      </c>
    </row>
    <row r="47" spans="1:19">
      <c r="A47" s="1081">
        <f t="shared" si="4"/>
        <v>2.3099999999999934</v>
      </c>
      <c r="B47" s="843" t="s">
        <v>1112</v>
      </c>
      <c r="C47" s="1051">
        <f t="shared" si="11"/>
        <v>225752.31</v>
      </c>
      <c r="D47" s="1051">
        <f t="shared" si="12"/>
        <v>398897.31</v>
      </c>
      <c r="E47" s="1051"/>
      <c r="F47" s="1051"/>
      <c r="G47" s="1051">
        <f t="shared" si="13"/>
        <v>312325</v>
      </c>
      <c r="H47" s="1051"/>
      <c r="I47" s="1051">
        <f t="shared" si="14"/>
        <v>0</v>
      </c>
      <c r="J47" s="1051">
        <f t="shared" si="15"/>
        <v>0</v>
      </c>
      <c r="K47" s="1051">
        <f t="shared" si="16"/>
        <v>312324.81</v>
      </c>
      <c r="L47" s="1051"/>
      <c r="M47" s="843">
        <v>0</v>
      </c>
      <c r="N47" s="843">
        <v>0</v>
      </c>
      <c r="O47" s="843">
        <v>225752.31</v>
      </c>
      <c r="P47" s="1051"/>
      <c r="Q47" s="843">
        <v>0</v>
      </c>
      <c r="R47" s="843">
        <v>0</v>
      </c>
      <c r="S47" s="843">
        <v>398897.31</v>
      </c>
    </row>
    <row r="48" spans="1:19">
      <c r="A48" s="1081">
        <f t="shared" si="4"/>
        <v>2.3199999999999932</v>
      </c>
      <c r="B48" s="843" t="s">
        <v>1113</v>
      </c>
      <c r="C48" s="1051">
        <f t="shared" si="11"/>
        <v>299248.48</v>
      </c>
      <c r="D48" s="1051">
        <f t="shared" si="12"/>
        <v>66675.009999999995</v>
      </c>
      <c r="E48" s="1051"/>
      <c r="F48" s="1051"/>
      <c r="G48" s="1051">
        <f t="shared" si="13"/>
        <v>182962</v>
      </c>
      <c r="H48" s="1051"/>
      <c r="I48" s="1051">
        <f t="shared" si="14"/>
        <v>0</v>
      </c>
      <c r="J48" s="1051">
        <f t="shared" si="15"/>
        <v>0</v>
      </c>
      <c r="K48" s="1051">
        <f t="shared" si="16"/>
        <v>182961.745</v>
      </c>
      <c r="L48" s="1051"/>
      <c r="M48" s="843">
        <v>0</v>
      </c>
      <c r="N48" s="843">
        <v>0</v>
      </c>
      <c r="O48" s="843">
        <v>299248.48</v>
      </c>
      <c r="P48" s="1051"/>
      <c r="Q48" s="843">
        <v>0</v>
      </c>
      <c r="R48" s="843">
        <v>0</v>
      </c>
      <c r="S48" s="843">
        <v>66675.009999999995</v>
      </c>
    </row>
    <row r="49" spans="1:19">
      <c r="A49" s="1081">
        <f t="shared" si="4"/>
        <v>2.329999999999993</v>
      </c>
      <c r="B49" s="843" t="s">
        <v>1114</v>
      </c>
      <c r="C49" s="1051">
        <f t="shared" si="11"/>
        <v>0</v>
      </c>
      <c r="D49" s="1051">
        <f t="shared" si="12"/>
        <v>0</v>
      </c>
      <c r="E49" s="1051"/>
      <c r="F49" s="1051"/>
      <c r="G49" s="1051">
        <f t="shared" si="13"/>
        <v>0</v>
      </c>
      <c r="H49" s="1051"/>
      <c r="I49" s="1051">
        <f t="shared" si="14"/>
        <v>0</v>
      </c>
      <c r="J49" s="1051">
        <f t="shared" si="15"/>
        <v>0</v>
      </c>
      <c r="K49" s="1051">
        <f t="shared" si="16"/>
        <v>0</v>
      </c>
      <c r="L49" s="1051"/>
      <c r="M49" s="843">
        <v>0</v>
      </c>
      <c r="N49" s="843">
        <v>0</v>
      </c>
      <c r="O49" s="843">
        <v>0</v>
      </c>
      <c r="P49" s="1051"/>
      <c r="Q49" s="843">
        <v>0</v>
      </c>
      <c r="R49" s="843">
        <v>0</v>
      </c>
      <c r="S49" s="843">
        <v>0</v>
      </c>
    </row>
    <row r="50" spans="1:19">
      <c r="A50" s="1081">
        <f t="shared" si="4"/>
        <v>2.3399999999999928</v>
      </c>
      <c r="B50" s="843" t="s">
        <v>1115</v>
      </c>
      <c r="C50" s="1051">
        <f t="shared" si="11"/>
        <v>0</v>
      </c>
      <c r="D50" s="1051">
        <f t="shared" si="12"/>
        <v>0</v>
      </c>
      <c r="E50" s="1051"/>
      <c r="F50" s="1051"/>
      <c r="G50" s="1051">
        <f t="shared" si="13"/>
        <v>0</v>
      </c>
      <c r="H50" s="1051"/>
      <c r="I50" s="1051">
        <f t="shared" si="14"/>
        <v>0</v>
      </c>
      <c r="J50" s="1051">
        <f t="shared" si="15"/>
        <v>0</v>
      </c>
      <c r="K50" s="1051">
        <f t="shared" si="16"/>
        <v>0</v>
      </c>
      <c r="L50" s="1051"/>
      <c r="M50" s="843">
        <v>0</v>
      </c>
      <c r="N50" s="843">
        <v>0</v>
      </c>
      <c r="O50" s="843">
        <v>0</v>
      </c>
      <c r="P50" s="1051"/>
      <c r="Q50" s="843">
        <v>0</v>
      </c>
      <c r="R50" s="843">
        <v>0</v>
      </c>
      <c r="S50" s="843">
        <v>0</v>
      </c>
    </row>
    <row r="51" spans="1:19">
      <c r="A51" s="1081">
        <f t="shared" si="4"/>
        <v>2.3499999999999925</v>
      </c>
      <c r="B51" s="843" t="s">
        <v>1116</v>
      </c>
      <c r="C51" s="1051">
        <f t="shared" si="11"/>
        <v>0</v>
      </c>
      <c r="D51" s="1051">
        <f t="shared" si="12"/>
        <v>0</v>
      </c>
      <c r="E51" s="1051"/>
      <c r="F51" s="1051"/>
      <c r="G51" s="1051">
        <f t="shared" si="13"/>
        <v>0</v>
      </c>
      <c r="H51" s="1051"/>
      <c r="I51" s="1051">
        <f t="shared" si="14"/>
        <v>0</v>
      </c>
      <c r="J51" s="1051">
        <f t="shared" si="15"/>
        <v>0</v>
      </c>
      <c r="K51" s="1051">
        <f t="shared" si="16"/>
        <v>0</v>
      </c>
      <c r="L51" s="1051"/>
      <c r="M51" s="843">
        <v>0</v>
      </c>
      <c r="N51" s="843">
        <v>0</v>
      </c>
      <c r="O51" s="843">
        <v>0</v>
      </c>
      <c r="P51" s="1051"/>
      <c r="Q51" s="843">
        <v>0</v>
      </c>
      <c r="R51" s="843">
        <v>0</v>
      </c>
      <c r="S51" s="843">
        <v>0</v>
      </c>
    </row>
    <row r="52" spans="1:19">
      <c r="A52" s="1081">
        <f t="shared" si="4"/>
        <v>2.3599999999999923</v>
      </c>
      <c r="B52" s="843" t="s">
        <v>1117</v>
      </c>
      <c r="C52" s="1051">
        <f t="shared" si="11"/>
        <v>0</v>
      </c>
      <c r="D52" s="1051">
        <f t="shared" si="12"/>
        <v>0</v>
      </c>
      <c r="E52" s="1051"/>
      <c r="F52" s="1051"/>
      <c r="G52" s="1051">
        <f t="shared" si="13"/>
        <v>0</v>
      </c>
      <c r="H52" s="1051"/>
      <c r="I52" s="1051">
        <f t="shared" si="14"/>
        <v>0</v>
      </c>
      <c r="J52" s="1051">
        <f t="shared" si="15"/>
        <v>0</v>
      </c>
      <c r="K52" s="1051">
        <f t="shared" si="16"/>
        <v>0</v>
      </c>
      <c r="L52" s="1051"/>
      <c r="M52" s="843">
        <v>0</v>
      </c>
      <c r="N52" s="843">
        <v>0</v>
      </c>
      <c r="O52" s="843">
        <v>0</v>
      </c>
      <c r="P52" s="1051"/>
      <c r="Q52" s="843">
        <v>0</v>
      </c>
      <c r="R52" s="843">
        <v>0</v>
      </c>
      <c r="S52" s="843">
        <v>0</v>
      </c>
    </row>
    <row r="53" spans="1:19">
      <c r="A53" s="1081">
        <f t="shared" si="4"/>
        <v>2.3699999999999921</v>
      </c>
      <c r="B53" s="843" t="s">
        <v>1118</v>
      </c>
      <c r="C53" s="1051">
        <f t="shared" si="11"/>
        <v>94684.4</v>
      </c>
      <c r="D53" s="1051">
        <f t="shared" si="12"/>
        <v>0.01</v>
      </c>
      <c r="E53" s="1051"/>
      <c r="F53" s="1051"/>
      <c r="G53" s="1051">
        <f t="shared" si="13"/>
        <v>47342</v>
      </c>
      <c r="H53" s="1051"/>
      <c r="I53" s="1051">
        <f t="shared" si="14"/>
        <v>0</v>
      </c>
      <c r="J53" s="1051">
        <f t="shared" si="15"/>
        <v>0</v>
      </c>
      <c r="K53" s="1051">
        <f t="shared" si="16"/>
        <v>47342.204999999994</v>
      </c>
      <c r="L53" s="1051"/>
      <c r="M53" s="843">
        <v>0</v>
      </c>
      <c r="N53" s="843">
        <v>0</v>
      </c>
      <c r="O53" s="843">
        <v>94684.4</v>
      </c>
      <c r="P53" s="1051"/>
      <c r="Q53" s="843">
        <v>0</v>
      </c>
      <c r="R53" s="843">
        <v>0</v>
      </c>
      <c r="S53" s="843">
        <v>0.01</v>
      </c>
    </row>
    <row r="54" spans="1:19">
      <c r="A54" s="1081">
        <f t="shared" si="4"/>
        <v>2.3799999999999919</v>
      </c>
      <c r="B54" s="843" t="s">
        <v>1119</v>
      </c>
      <c r="C54" s="1051">
        <f t="shared" si="11"/>
        <v>188598.69</v>
      </c>
      <c r="D54" s="1051">
        <f t="shared" si="12"/>
        <v>0</v>
      </c>
      <c r="E54" s="1051"/>
      <c r="F54" s="1051"/>
      <c r="G54" s="1051">
        <f t="shared" si="13"/>
        <v>94299</v>
      </c>
      <c r="H54" s="1051"/>
      <c r="I54" s="1051">
        <f t="shared" si="14"/>
        <v>0</v>
      </c>
      <c r="J54" s="1051">
        <f t="shared" si="15"/>
        <v>0</v>
      </c>
      <c r="K54" s="1051">
        <f t="shared" si="16"/>
        <v>94299.345000000001</v>
      </c>
      <c r="L54" s="1051"/>
      <c r="M54" s="843">
        <v>0</v>
      </c>
      <c r="N54" s="843">
        <v>0</v>
      </c>
      <c r="O54" s="843">
        <v>188598.69</v>
      </c>
      <c r="P54" s="1051"/>
      <c r="Q54" s="843">
        <v>0</v>
      </c>
      <c r="R54" s="843">
        <v>0</v>
      </c>
      <c r="S54" s="843">
        <v>0</v>
      </c>
    </row>
    <row r="55" spans="1:19">
      <c r="A55" s="1081">
        <f t="shared" si="4"/>
        <v>2.3899999999999917</v>
      </c>
      <c r="B55" s="843" t="s">
        <v>1120</v>
      </c>
      <c r="C55" s="1051">
        <f t="shared" si="11"/>
        <v>-0.1</v>
      </c>
      <c r="D55" s="1051">
        <f t="shared" si="12"/>
        <v>-0.1</v>
      </c>
      <c r="E55" s="1051"/>
      <c r="F55" s="1051"/>
      <c r="G55" s="1051">
        <f t="shared" si="13"/>
        <v>0</v>
      </c>
      <c r="H55" s="1051"/>
      <c r="I55" s="1051">
        <f t="shared" si="14"/>
        <v>0</v>
      </c>
      <c r="J55" s="1051">
        <f t="shared" si="15"/>
        <v>-0.1</v>
      </c>
      <c r="K55" s="1051">
        <f t="shared" si="16"/>
        <v>0</v>
      </c>
      <c r="L55" s="1051"/>
      <c r="M55" s="843">
        <v>0</v>
      </c>
      <c r="N55" s="843">
        <v>-0.1</v>
      </c>
      <c r="O55" s="843">
        <v>0</v>
      </c>
      <c r="P55" s="1051"/>
      <c r="Q55" s="843">
        <v>0</v>
      </c>
      <c r="R55" s="843">
        <v>-0.1</v>
      </c>
      <c r="S55" s="843">
        <v>0</v>
      </c>
    </row>
    <row r="56" spans="1:19">
      <c r="A56" s="1081">
        <f t="shared" si="4"/>
        <v>2.3999999999999915</v>
      </c>
      <c r="B56" s="843" t="s">
        <v>1122</v>
      </c>
      <c r="C56" s="1051">
        <f t="shared" si="11"/>
        <v>6535203.2400000002</v>
      </c>
      <c r="D56" s="1051">
        <f t="shared" si="12"/>
        <v>5204480.09</v>
      </c>
      <c r="E56" s="1051"/>
      <c r="F56" s="1051"/>
      <c r="G56" s="1051">
        <f t="shared" si="13"/>
        <v>5869842</v>
      </c>
      <c r="H56" s="1051"/>
      <c r="I56" s="1051">
        <f t="shared" si="14"/>
        <v>0</v>
      </c>
      <c r="J56" s="1051">
        <f t="shared" si="15"/>
        <v>0</v>
      </c>
      <c r="K56" s="1051">
        <f t="shared" si="16"/>
        <v>5869841.665</v>
      </c>
      <c r="L56" s="1051"/>
      <c r="M56" s="843">
        <v>0</v>
      </c>
      <c r="N56" s="843">
        <v>0</v>
      </c>
      <c r="O56" s="843">
        <v>6535203.2400000002</v>
      </c>
      <c r="P56" s="1051"/>
      <c r="Q56" s="843">
        <v>0</v>
      </c>
      <c r="R56" s="843">
        <v>0</v>
      </c>
      <c r="S56" s="843">
        <v>5204480.09</v>
      </c>
    </row>
    <row r="57" spans="1:19">
      <c r="A57" s="1081">
        <f t="shared" si="4"/>
        <v>2.4099999999999913</v>
      </c>
      <c r="B57" s="843" t="s">
        <v>1123</v>
      </c>
      <c r="C57" s="1051">
        <f t="shared" si="11"/>
        <v>0</v>
      </c>
      <c r="D57" s="1051">
        <f t="shared" si="12"/>
        <v>0</v>
      </c>
      <c r="E57" s="1051"/>
      <c r="F57" s="1051"/>
      <c r="G57" s="1051">
        <f t="shared" si="13"/>
        <v>0</v>
      </c>
      <c r="H57" s="1051"/>
      <c r="I57" s="1051">
        <f t="shared" si="14"/>
        <v>0</v>
      </c>
      <c r="J57" s="1051">
        <f t="shared" si="15"/>
        <v>0</v>
      </c>
      <c r="K57" s="1051">
        <f t="shared" si="16"/>
        <v>0</v>
      </c>
      <c r="L57" s="1051"/>
      <c r="M57" s="843">
        <v>0</v>
      </c>
      <c r="N57" s="843">
        <v>0</v>
      </c>
      <c r="O57" s="843">
        <v>0</v>
      </c>
      <c r="P57" s="1051"/>
      <c r="Q57" s="843">
        <v>0</v>
      </c>
      <c r="R57" s="843">
        <v>0</v>
      </c>
      <c r="S57" s="843">
        <v>0</v>
      </c>
    </row>
    <row r="58" spans="1:19">
      <c r="A58" s="1081">
        <f t="shared" si="4"/>
        <v>2.419999999999991</v>
      </c>
      <c r="B58" s="843" t="s">
        <v>1124</v>
      </c>
      <c r="C58" s="1051">
        <f t="shared" si="11"/>
        <v>1187034.0599999998</v>
      </c>
      <c r="D58" s="1051">
        <f t="shared" si="12"/>
        <v>249384.38999999996</v>
      </c>
      <c r="E58" s="1051"/>
      <c r="F58" s="1051"/>
      <c r="G58" s="1051">
        <f t="shared" si="13"/>
        <v>718209</v>
      </c>
      <c r="H58" s="1051"/>
      <c r="I58" s="1051">
        <f t="shared" si="14"/>
        <v>0</v>
      </c>
      <c r="J58" s="1051">
        <f t="shared" si="15"/>
        <v>-181518.15</v>
      </c>
      <c r="K58" s="1051">
        <f t="shared" si="16"/>
        <v>899727.375</v>
      </c>
      <c r="L58" s="1051"/>
      <c r="M58" s="843">
        <v>0</v>
      </c>
      <c r="N58" s="843">
        <v>36993.89</v>
      </c>
      <c r="O58" s="843">
        <v>1150040.17</v>
      </c>
      <c r="P58" s="1051"/>
      <c r="Q58" s="843">
        <v>0</v>
      </c>
      <c r="R58" s="843">
        <v>-400030.19</v>
      </c>
      <c r="S58" s="843">
        <v>649414.57999999996</v>
      </c>
    </row>
    <row r="59" spans="1:19">
      <c r="A59" s="1081">
        <f t="shared" si="4"/>
        <v>2.4299999999999908</v>
      </c>
      <c r="B59" s="843" t="s">
        <v>1261</v>
      </c>
      <c r="C59" s="1051">
        <f t="shared" si="11"/>
        <v>1437.28</v>
      </c>
      <c r="D59" s="1051">
        <f t="shared" si="12"/>
        <v>797.15</v>
      </c>
      <c r="E59" s="1051"/>
      <c r="F59" s="1051"/>
      <c r="G59" s="1051">
        <f t="shared" si="13"/>
        <v>1117</v>
      </c>
      <c r="H59" s="1051"/>
      <c r="I59" s="1051">
        <f t="shared" si="14"/>
        <v>0</v>
      </c>
      <c r="J59" s="1051">
        <f t="shared" si="15"/>
        <v>1117.2149999999999</v>
      </c>
      <c r="K59" s="1051">
        <f t="shared" si="16"/>
        <v>0</v>
      </c>
      <c r="L59" s="1051"/>
      <c r="M59" s="843">
        <v>0</v>
      </c>
      <c r="N59" s="843">
        <v>1437.28</v>
      </c>
      <c r="O59" s="843">
        <v>0</v>
      </c>
      <c r="P59" s="1051"/>
      <c r="Q59" s="843">
        <v>0</v>
      </c>
      <c r="R59" s="843">
        <v>797.15</v>
      </c>
      <c r="S59" s="843">
        <v>0</v>
      </c>
    </row>
    <row r="60" spans="1:19">
      <c r="A60" s="1081">
        <f t="shared" si="4"/>
        <v>2.4399999999999906</v>
      </c>
      <c r="B60" s="843" t="s">
        <v>1262</v>
      </c>
      <c r="C60" s="1051">
        <f t="shared" si="11"/>
        <v>40226.400000000001</v>
      </c>
      <c r="D60" s="1051">
        <f t="shared" si="12"/>
        <v>35838.239999999998</v>
      </c>
      <c r="E60" s="1051"/>
      <c r="F60" s="1051"/>
      <c r="G60" s="1051">
        <f t="shared" si="13"/>
        <v>38032</v>
      </c>
      <c r="H60" s="1051"/>
      <c r="I60" s="1051">
        <f t="shared" si="14"/>
        <v>0</v>
      </c>
      <c r="J60" s="1051">
        <f t="shared" si="15"/>
        <v>0</v>
      </c>
      <c r="K60" s="1051">
        <f t="shared" si="16"/>
        <v>38032.32</v>
      </c>
      <c r="L60" s="1051"/>
      <c r="M60" s="843">
        <v>0</v>
      </c>
      <c r="N60" s="843">
        <v>0</v>
      </c>
      <c r="O60" s="843">
        <v>40226.400000000001</v>
      </c>
      <c r="P60" s="1051"/>
      <c r="Q60" s="843">
        <v>0</v>
      </c>
      <c r="R60" s="843">
        <v>0</v>
      </c>
      <c r="S60" s="843">
        <v>35838.239999999998</v>
      </c>
    </row>
    <row r="61" spans="1:19">
      <c r="A61" s="1081">
        <f t="shared" si="4"/>
        <v>2.4499999999999904</v>
      </c>
      <c r="B61" s="843" t="s">
        <v>1127</v>
      </c>
      <c r="C61" s="1051">
        <f t="shared" si="11"/>
        <v>0</v>
      </c>
      <c r="D61" s="1051">
        <f t="shared" si="12"/>
        <v>13152.38</v>
      </c>
      <c r="E61" s="1051"/>
      <c r="F61" s="1051"/>
      <c r="G61" s="1051">
        <f t="shared" si="13"/>
        <v>6576</v>
      </c>
      <c r="H61" s="1051"/>
      <c r="I61" s="1051">
        <f t="shared" si="14"/>
        <v>0</v>
      </c>
      <c r="J61" s="1051">
        <f t="shared" si="15"/>
        <v>6576.19</v>
      </c>
      <c r="K61" s="1051">
        <f t="shared" si="16"/>
        <v>0</v>
      </c>
      <c r="L61" s="1051"/>
      <c r="M61" s="843">
        <v>0</v>
      </c>
      <c r="N61" s="843">
        <v>0</v>
      </c>
      <c r="O61" s="843">
        <v>0</v>
      </c>
      <c r="P61" s="1051"/>
      <c r="Q61" s="843">
        <v>0</v>
      </c>
      <c r="R61" s="843">
        <v>13152.38</v>
      </c>
      <c r="S61" s="843">
        <v>0</v>
      </c>
    </row>
    <row r="62" spans="1:19">
      <c r="A62" s="1081">
        <f t="shared" si="4"/>
        <v>2.4599999999999902</v>
      </c>
      <c r="B62" s="843" t="s">
        <v>1126</v>
      </c>
      <c r="C62" s="1051">
        <f t="shared" si="11"/>
        <v>0</v>
      </c>
      <c r="D62" s="1051">
        <f t="shared" si="12"/>
        <v>0</v>
      </c>
      <c r="E62" s="1051"/>
      <c r="F62" s="1051"/>
      <c r="G62" s="1051">
        <f t="shared" si="13"/>
        <v>0</v>
      </c>
      <c r="H62" s="1051"/>
      <c r="I62" s="1051">
        <f t="shared" si="14"/>
        <v>0</v>
      </c>
      <c r="J62" s="1051">
        <f t="shared" si="15"/>
        <v>0</v>
      </c>
      <c r="K62" s="1051">
        <f t="shared" si="16"/>
        <v>0</v>
      </c>
      <c r="L62" s="1051"/>
      <c r="M62" s="843">
        <v>0</v>
      </c>
      <c r="N62" s="843">
        <v>0</v>
      </c>
      <c r="O62" s="843">
        <v>0</v>
      </c>
      <c r="P62" s="1051"/>
      <c r="Q62" s="843">
        <v>0</v>
      </c>
      <c r="R62" s="843">
        <v>0</v>
      </c>
      <c r="S62" s="843">
        <v>0</v>
      </c>
    </row>
    <row r="63" spans="1:19">
      <c r="A63" s="1081">
        <f t="shared" si="4"/>
        <v>2.46999999999999</v>
      </c>
      <c r="B63" s="843" t="s">
        <v>1041</v>
      </c>
      <c r="C63" s="1051">
        <f t="shared" si="11"/>
        <v>0</v>
      </c>
      <c r="D63" s="1051">
        <f t="shared" si="12"/>
        <v>0</v>
      </c>
      <c r="E63" s="1051"/>
      <c r="F63" s="1051"/>
      <c r="G63" s="1051">
        <f t="shared" si="13"/>
        <v>0</v>
      </c>
      <c r="H63" s="1051"/>
      <c r="I63" s="1051">
        <f t="shared" si="14"/>
        <v>0</v>
      </c>
      <c r="J63" s="1051">
        <f t="shared" si="15"/>
        <v>0</v>
      </c>
      <c r="K63" s="1051">
        <f t="shared" si="16"/>
        <v>0</v>
      </c>
      <c r="L63" s="1051"/>
      <c r="M63" s="843">
        <v>0</v>
      </c>
      <c r="N63" s="843">
        <v>0</v>
      </c>
      <c r="O63" s="843">
        <v>0</v>
      </c>
      <c r="P63" s="1051"/>
      <c r="Q63" s="843">
        <v>0</v>
      </c>
      <c r="R63" s="843">
        <v>0</v>
      </c>
      <c r="S63" s="843">
        <v>0</v>
      </c>
    </row>
    <row r="64" spans="1:19">
      <c r="A64" s="1081">
        <f t="shared" si="4"/>
        <v>2.4799999999999898</v>
      </c>
      <c r="B64" s="843" t="s">
        <v>1127</v>
      </c>
      <c r="C64" s="1051">
        <f t="shared" si="11"/>
        <v>427351.26</v>
      </c>
      <c r="D64" s="1051">
        <f t="shared" si="12"/>
        <v>443156.15</v>
      </c>
      <c r="E64" s="1051"/>
      <c r="F64" s="1051"/>
      <c r="G64" s="1051">
        <f t="shared" si="13"/>
        <v>435254</v>
      </c>
      <c r="H64" s="1051"/>
      <c r="I64" s="1051">
        <f t="shared" si="14"/>
        <v>0</v>
      </c>
      <c r="J64" s="1051">
        <f t="shared" si="15"/>
        <v>0</v>
      </c>
      <c r="K64" s="1051">
        <f t="shared" si="16"/>
        <v>435253.70500000002</v>
      </c>
      <c r="L64" s="1051"/>
      <c r="M64" s="843">
        <v>0</v>
      </c>
      <c r="N64" s="843">
        <v>0</v>
      </c>
      <c r="O64" s="843">
        <v>427351.26</v>
      </c>
      <c r="P64" s="1051"/>
      <c r="Q64" s="843">
        <v>0</v>
      </c>
      <c r="R64" s="843">
        <v>0</v>
      </c>
      <c r="S64" s="843">
        <v>443156.15</v>
      </c>
    </row>
    <row r="65" spans="1:19">
      <c r="A65" s="1081">
        <f t="shared" si="4"/>
        <v>2.4899999999999896</v>
      </c>
      <c r="B65" s="843" t="s">
        <v>1128</v>
      </c>
      <c r="C65" s="1051">
        <f t="shared" si="11"/>
        <v>21243.759999999998</v>
      </c>
      <c r="D65" s="1051">
        <f t="shared" si="12"/>
        <v>5310.93</v>
      </c>
      <c r="E65" s="1051"/>
      <c r="F65" s="1051"/>
      <c r="G65" s="1051">
        <f t="shared" si="13"/>
        <v>13277</v>
      </c>
      <c r="H65" s="1051"/>
      <c r="I65" s="1051">
        <f t="shared" si="14"/>
        <v>0</v>
      </c>
      <c r="J65" s="1051">
        <f t="shared" si="15"/>
        <v>13277.344999999999</v>
      </c>
      <c r="K65" s="1051">
        <f t="shared" si="16"/>
        <v>0</v>
      </c>
      <c r="L65" s="1051"/>
      <c r="M65" s="843">
        <v>0</v>
      </c>
      <c r="N65" s="843">
        <v>21243.759999999998</v>
      </c>
      <c r="O65" s="843">
        <v>0</v>
      </c>
      <c r="P65" s="1051"/>
      <c r="Q65" s="843">
        <v>0</v>
      </c>
      <c r="R65" s="843">
        <v>5310.93</v>
      </c>
      <c r="S65" s="843">
        <v>0</v>
      </c>
    </row>
    <row r="66" spans="1:19">
      <c r="A66" s="1081">
        <f t="shared" si="4"/>
        <v>2.4999999999999893</v>
      </c>
      <c r="B66" s="843" t="s">
        <v>1129</v>
      </c>
      <c r="C66" s="1051">
        <f t="shared" si="11"/>
        <v>5310.94</v>
      </c>
      <c r="D66" s="1051">
        <f t="shared" si="12"/>
        <v>0</v>
      </c>
      <c r="E66" s="1051"/>
      <c r="F66" s="1051"/>
      <c r="G66" s="1051">
        <f t="shared" si="13"/>
        <v>2655</v>
      </c>
      <c r="H66" s="1051"/>
      <c r="I66" s="1051">
        <f t="shared" si="14"/>
        <v>0</v>
      </c>
      <c r="J66" s="1051">
        <f t="shared" si="15"/>
        <v>2655.47</v>
      </c>
      <c r="K66" s="1051">
        <f t="shared" si="16"/>
        <v>0</v>
      </c>
      <c r="L66" s="1051"/>
      <c r="M66" s="843">
        <v>0</v>
      </c>
      <c r="N66" s="843">
        <v>5310.94</v>
      </c>
      <c r="O66" s="843">
        <v>0</v>
      </c>
      <c r="P66" s="1051"/>
      <c r="Q66" s="843">
        <v>0</v>
      </c>
      <c r="R66" s="843">
        <v>0</v>
      </c>
      <c r="S66" s="843">
        <v>0</v>
      </c>
    </row>
    <row r="67" spans="1:19">
      <c r="A67" s="1081">
        <f t="shared" si="4"/>
        <v>2.5099999999999891</v>
      </c>
      <c r="B67" s="843" t="s">
        <v>1125</v>
      </c>
      <c r="C67" s="1051">
        <f t="shared" si="11"/>
        <v>0.01</v>
      </c>
      <c r="D67" s="1051">
        <f t="shared" si="12"/>
        <v>0.01</v>
      </c>
      <c r="E67" s="1051"/>
      <c r="F67" s="1051"/>
      <c r="G67" s="1051">
        <f t="shared" si="13"/>
        <v>0</v>
      </c>
      <c r="H67" s="1051"/>
      <c r="I67" s="1051">
        <f t="shared" si="14"/>
        <v>0</v>
      </c>
      <c r="J67" s="1051">
        <f t="shared" si="15"/>
        <v>0.01</v>
      </c>
      <c r="K67" s="1051">
        <f t="shared" si="16"/>
        <v>0</v>
      </c>
      <c r="L67" s="1051"/>
      <c r="M67" s="843">
        <v>0</v>
      </c>
      <c r="N67" s="843">
        <v>0.01</v>
      </c>
      <c r="O67" s="843">
        <v>0</v>
      </c>
      <c r="P67" s="1051"/>
      <c r="Q67" s="843">
        <v>0</v>
      </c>
      <c r="R67" s="843">
        <v>0.01</v>
      </c>
      <c r="S67" s="843">
        <v>0</v>
      </c>
    </row>
    <row r="68" spans="1:19">
      <c r="A68" s="1081">
        <f t="shared" si="4"/>
        <v>2.5199999999999889</v>
      </c>
      <c r="B68" s="843" t="s">
        <v>1130</v>
      </c>
      <c r="C68" s="1051">
        <f t="shared" si="11"/>
        <v>0.24</v>
      </c>
      <c r="D68" s="1051">
        <f t="shared" si="12"/>
        <v>0.03</v>
      </c>
      <c r="E68" s="1051"/>
      <c r="F68" s="1051"/>
      <c r="G68" s="1051">
        <f t="shared" si="13"/>
        <v>0</v>
      </c>
      <c r="H68" s="1051"/>
      <c r="I68" s="1051">
        <f t="shared" si="14"/>
        <v>0</v>
      </c>
      <c r="J68" s="1051">
        <f t="shared" si="15"/>
        <v>0</v>
      </c>
      <c r="K68" s="1051">
        <f t="shared" si="16"/>
        <v>0.13500000000000001</v>
      </c>
      <c r="L68" s="1051"/>
      <c r="M68" s="843">
        <v>0</v>
      </c>
      <c r="N68" s="843">
        <v>0</v>
      </c>
      <c r="O68" s="843">
        <v>0.24</v>
      </c>
      <c r="P68" s="1051"/>
      <c r="Q68" s="843">
        <v>0</v>
      </c>
      <c r="R68" s="843">
        <v>0</v>
      </c>
      <c r="S68" s="843">
        <v>0.03</v>
      </c>
    </row>
    <row r="69" spans="1:19">
      <c r="A69" s="1081">
        <f t="shared" si="4"/>
        <v>2.5299999999999887</v>
      </c>
      <c r="B69" s="843" t="s">
        <v>1131</v>
      </c>
      <c r="C69" s="1051">
        <f t="shared" si="11"/>
        <v>1315879.6800000002</v>
      </c>
      <c r="D69" s="1051">
        <f t="shared" si="12"/>
        <v>2956246.8</v>
      </c>
      <c r="E69" s="1051"/>
      <c r="F69" s="1051"/>
      <c r="G69" s="1051">
        <f t="shared" si="13"/>
        <v>2136063</v>
      </c>
      <c r="H69" s="1051"/>
      <c r="I69" s="1051">
        <f t="shared" si="14"/>
        <v>0</v>
      </c>
      <c r="J69" s="1051">
        <f t="shared" si="15"/>
        <v>215.95000000000002</v>
      </c>
      <c r="K69" s="1051">
        <f t="shared" si="16"/>
        <v>2135847.29</v>
      </c>
      <c r="L69" s="1051"/>
      <c r="M69" s="843">
        <v>0</v>
      </c>
      <c r="N69" s="843">
        <v>-21.14</v>
      </c>
      <c r="O69" s="843">
        <v>1315900.82</v>
      </c>
      <c r="P69" s="1051"/>
      <c r="Q69" s="843">
        <v>0</v>
      </c>
      <c r="R69" s="843">
        <v>453.04</v>
      </c>
      <c r="S69" s="843">
        <v>2955793.76</v>
      </c>
    </row>
    <row r="70" spans="1:19">
      <c r="A70" s="1081">
        <f t="shared" si="4"/>
        <v>2.5399999999999885</v>
      </c>
      <c r="B70" s="843" t="s">
        <v>1132</v>
      </c>
      <c r="C70" s="1051">
        <f t="shared" si="0"/>
        <v>0</v>
      </c>
      <c r="D70" s="1051">
        <f t="shared" si="1"/>
        <v>0</v>
      </c>
      <c r="E70" s="1051"/>
      <c r="F70" s="1051"/>
      <c r="G70" s="1051">
        <f t="shared" si="2"/>
        <v>0</v>
      </c>
      <c r="H70" s="1051"/>
      <c r="I70" s="1051">
        <f t="shared" ref="I70:I87" si="17">(M70+Q70)/2</f>
        <v>0</v>
      </c>
      <c r="J70" s="1051">
        <f t="shared" ref="J70:J87" si="18">(N70+R70)/2</f>
        <v>0</v>
      </c>
      <c r="K70" s="1051">
        <f t="shared" ref="K70:K87" si="19">(O70+S70)/2</f>
        <v>0</v>
      </c>
      <c r="L70" s="1051"/>
      <c r="M70" s="843">
        <v>0</v>
      </c>
      <c r="N70" s="843">
        <v>0</v>
      </c>
      <c r="O70" s="843">
        <v>0</v>
      </c>
      <c r="P70" s="1051"/>
      <c r="Q70" s="843">
        <v>0</v>
      </c>
      <c r="R70" s="843">
        <v>0</v>
      </c>
      <c r="S70" s="843">
        <v>0</v>
      </c>
    </row>
    <row r="71" spans="1:19">
      <c r="A71" s="1081">
        <f t="shared" si="4"/>
        <v>2.5499999999999883</v>
      </c>
      <c r="B71" s="843" t="s">
        <v>1133</v>
      </c>
      <c r="C71" s="1051">
        <f t="shared" si="0"/>
        <v>0</v>
      </c>
      <c r="D71" s="1051">
        <f t="shared" si="1"/>
        <v>0</v>
      </c>
      <c r="E71" s="1051"/>
      <c r="F71" s="1051"/>
      <c r="G71" s="1051">
        <f t="shared" si="2"/>
        <v>0</v>
      </c>
      <c r="H71" s="1051"/>
      <c r="I71" s="1051">
        <f t="shared" si="17"/>
        <v>0</v>
      </c>
      <c r="J71" s="1051">
        <f t="shared" si="18"/>
        <v>0</v>
      </c>
      <c r="K71" s="1051">
        <f t="shared" si="19"/>
        <v>0</v>
      </c>
      <c r="L71" s="1051"/>
      <c r="M71" s="843">
        <v>0</v>
      </c>
      <c r="N71" s="843">
        <v>0</v>
      </c>
      <c r="O71" s="843">
        <v>0</v>
      </c>
      <c r="P71" s="1051"/>
      <c r="Q71" s="843">
        <v>0</v>
      </c>
      <c r="R71" s="843">
        <v>0</v>
      </c>
      <c r="S71" s="843">
        <v>0</v>
      </c>
    </row>
    <row r="72" spans="1:19">
      <c r="A72" s="1081">
        <f t="shared" si="4"/>
        <v>2.5599999999999881</v>
      </c>
      <c r="B72" s="843" t="s">
        <v>1134</v>
      </c>
      <c r="C72" s="1051">
        <f t="shared" si="0"/>
        <v>-10328396.869999999</v>
      </c>
      <c r="D72" s="1051">
        <f t="shared" si="1"/>
        <v>-12124666.65</v>
      </c>
      <c r="E72" s="1051"/>
      <c r="F72" s="1051"/>
      <c r="G72" s="1051">
        <f t="shared" si="2"/>
        <v>-11226532</v>
      </c>
      <c r="H72" s="1051"/>
      <c r="I72" s="1051">
        <f t="shared" si="17"/>
        <v>0</v>
      </c>
      <c r="J72" s="1051">
        <f t="shared" si="18"/>
        <v>-2641812.7450000001</v>
      </c>
      <c r="K72" s="1051">
        <f t="shared" si="19"/>
        <v>-8584719.0150000006</v>
      </c>
      <c r="L72" s="1051"/>
      <c r="M72" s="843">
        <v>0</v>
      </c>
      <c r="N72" s="843">
        <v>-2469432.06</v>
      </c>
      <c r="O72" s="843">
        <v>-7858964.8099999996</v>
      </c>
      <c r="P72" s="1051"/>
      <c r="Q72" s="843">
        <v>0</v>
      </c>
      <c r="R72" s="843">
        <v>-2814193.43</v>
      </c>
      <c r="S72" s="843">
        <v>-9310473.2200000007</v>
      </c>
    </row>
    <row r="73" spans="1:19">
      <c r="A73" s="1081">
        <f t="shared" si="4"/>
        <v>2.5699999999999878</v>
      </c>
      <c r="B73" s="843" t="s">
        <v>1135</v>
      </c>
      <c r="C73" s="1051">
        <f t="shared" si="0"/>
        <v>-4039857.9799999995</v>
      </c>
      <c r="D73" s="1051">
        <f t="shared" si="1"/>
        <v>-7306602.8600000003</v>
      </c>
      <c r="E73" s="1051"/>
      <c r="F73" s="1051"/>
      <c r="G73" s="1051">
        <f t="shared" si="2"/>
        <v>-5673230</v>
      </c>
      <c r="H73" s="1051"/>
      <c r="I73" s="1051">
        <f t="shared" si="17"/>
        <v>0</v>
      </c>
      <c r="J73" s="1051">
        <f t="shared" si="18"/>
        <v>332052.52500000002</v>
      </c>
      <c r="K73" s="1051">
        <f t="shared" si="19"/>
        <v>-6005282.9450000003</v>
      </c>
      <c r="L73" s="1051"/>
      <c r="M73" s="843">
        <v>0</v>
      </c>
      <c r="N73" s="843">
        <v>409099.95</v>
      </c>
      <c r="O73" s="843">
        <v>-4448957.93</v>
      </c>
      <c r="P73" s="1051"/>
      <c r="Q73" s="843">
        <v>0</v>
      </c>
      <c r="R73" s="843">
        <v>255005.1</v>
      </c>
      <c r="S73" s="843">
        <v>-7561607.96</v>
      </c>
    </row>
    <row r="74" spans="1:19">
      <c r="A74" s="1081">
        <f t="shared" si="4"/>
        <v>2.5799999999999876</v>
      </c>
      <c r="B74" s="843" t="s">
        <v>1136</v>
      </c>
      <c r="C74" s="1051">
        <f t="shared" si="0"/>
        <v>1396247.8299999998</v>
      </c>
      <c r="D74" s="1051">
        <f t="shared" si="1"/>
        <v>1293942.97</v>
      </c>
      <c r="E74" s="1051"/>
      <c r="F74" s="1051"/>
      <c r="G74" s="1051">
        <f t="shared" si="2"/>
        <v>1345095</v>
      </c>
      <c r="H74" s="1051"/>
      <c r="I74" s="1051">
        <f t="shared" si="17"/>
        <v>0</v>
      </c>
      <c r="J74" s="1051">
        <f t="shared" si="18"/>
        <v>70208.375</v>
      </c>
      <c r="K74" s="1051">
        <f t="shared" si="19"/>
        <v>1274887.0249999999</v>
      </c>
      <c r="L74" s="1051"/>
      <c r="M74" s="843">
        <v>0</v>
      </c>
      <c r="N74" s="843">
        <v>71320.429999999993</v>
      </c>
      <c r="O74" s="843">
        <v>1324927.3999999999</v>
      </c>
      <c r="P74" s="1051"/>
      <c r="Q74" s="843">
        <v>0</v>
      </c>
      <c r="R74" s="843">
        <v>69096.320000000007</v>
      </c>
      <c r="S74" s="843">
        <v>1224846.6499999999</v>
      </c>
    </row>
    <row r="75" spans="1:19">
      <c r="A75" s="1081">
        <f t="shared" si="4"/>
        <v>2.5899999999999874</v>
      </c>
      <c r="B75" s="843" t="s">
        <v>1137</v>
      </c>
      <c r="C75" s="1056">
        <f t="shared" si="0"/>
        <v>387729.21</v>
      </c>
      <c r="D75" s="1056">
        <f t="shared" si="1"/>
        <v>396915.06</v>
      </c>
      <c r="E75" s="1056"/>
      <c r="F75" s="1056"/>
      <c r="G75" s="1056">
        <f t="shared" si="2"/>
        <v>392322</v>
      </c>
      <c r="H75" s="1056"/>
      <c r="I75" s="1056">
        <f t="shared" si="17"/>
        <v>0</v>
      </c>
      <c r="J75" s="1056">
        <f t="shared" si="18"/>
        <v>8688.9000000000015</v>
      </c>
      <c r="K75" s="1056">
        <f t="shared" si="19"/>
        <v>383633.23499999999</v>
      </c>
      <c r="L75" s="1056"/>
      <c r="M75" s="843">
        <v>0</v>
      </c>
      <c r="N75" s="843">
        <v>8420.43</v>
      </c>
      <c r="O75" s="843">
        <v>379308.78</v>
      </c>
      <c r="P75" s="1056"/>
      <c r="Q75" s="843">
        <v>0</v>
      </c>
      <c r="R75" s="843">
        <v>8957.3700000000008</v>
      </c>
      <c r="S75" s="843">
        <v>387957.69</v>
      </c>
    </row>
    <row r="76" spans="1:19">
      <c r="A76" s="1081">
        <f t="shared" si="4"/>
        <v>2.5999999999999872</v>
      </c>
      <c r="B76" s="843" t="s">
        <v>1163</v>
      </c>
      <c r="C76" s="1051">
        <f t="shared" ref="C76" si="20">SUM(M76:O76)</f>
        <v>19438379.629999999</v>
      </c>
      <c r="D76" s="1051">
        <f t="shared" ref="D76" si="21">SUM(Q76:S76)</f>
        <v>17163476.699999999</v>
      </c>
      <c r="E76" s="1051"/>
      <c r="F76" s="1051"/>
      <c r="G76" s="1051">
        <f t="shared" ref="G76" si="22">ROUND(SUM(C76:F76)/2,0)</f>
        <v>18300928</v>
      </c>
      <c r="H76" s="1051"/>
      <c r="I76" s="1051">
        <f t="shared" ref="I76" si="23">(M76+Q76)/2</f>
        <v>0</v>
      </c>
      <c r="J76" s="1051">
        <f t="shared" ref="J76" si="24">(N76+R76)/2</f>
        <v>289982.91000000003</v>
      </c>
      <c r="K76" s="1051">
        <f t="shared" ref="K76" si="25">(O76+S76)/2</f>
        <v>18010945.254999999</v>
      </c>
      <c r="L76" s="1051"/>
      <c r="M76" s="843">
        <v>0</v>
      </c>
      <c r="N76" s="843">
        <v>285332.68</v>
      </c>
      <c r="O76" s="843">
        <v>19153046.949999999</v>
      </c>
      <c r="P76" s="1051"/>
      <c r="Q76" s="843">
        <v>0</v>
      </c>
      <c r="R76" s="843">
        <v>294633.14</v>
      </c>
      <c r="S76" s="843">
        <v>16868843.559999999</v>
      </c>
    </row>
    <row r="77" spans="1:19">
      <c r="A77" s="1081">
        <f t="shared" si="4"/>
        <v>2.609999999999987</v>
      </c>
      <c r="B77" s="843" t="s">
        <v>1138</v>
      </c>
      <c r="C77" s="1051">
        <f t="shared" si="0"/>
        <v>0</v>
      </c>
      <c r="D77" s="1051">
        <f t="shared" si="1"/>
        <v>0</v>
      </c>
      <c r="E77" s="1051"/>
      <c r="F77" s="1051"/>
      <c r="G77" s="1051">
        <f t="shared" si="2"/>
        <v>0</v>
      </c>
      <c r="H77" s="1051"/>
      <c r="I77" s="1051">
        <f t="shared" si="17"/>
        <v>0</v>
      </c>
      <c r="J77" s="1051">
        <f t="shared" si="18"/>
        <v>0</v>
      </c>
      <c r="K77" s="1051">
        <f t="shared" si="19"/>
        <v>0</v>
      </c>
      <c r="L77" s="1051"/>
      <c r="M77" s="843">
        <v>0</v>
      </c>
      <c r="N77" s="843">
        <v>0</v>
      </c>
      <c r="O77" s="843">
        <v>0</v>
      </c>
      <c r="P77" s="1051"/>
      <c r="Q77" s="843">
        <v>0</v>
      </c>
      <c r="R77" s="843">
        <v>0</v>
      </c>
      <c r="S77" s="843">
        <v>0</v>
      </c>
    </row>
    <row r="78" spans="1:19">
      <c r="A78" s="1081">
        <f t="shared" si="4"/>
        <v>2.6199999999999868</v>
      </c>
      <c r="B78" s="843" t="s">
        <v>1139</v>
      </c>
      <c r="C78" s="1051">
        <f t="shared" si="0"/>
        <v>0</v>
      </c>
      <c r="D78" s="1051">
        <f t="shared" si="1"/>
        <v>0</v>
      </c>
      <c r="E78" s="1051"/>
      <c r="F78" s="1051"/>
      <c r="G78" s="1051">
        <f t="shared" si="2"/>
        <v>0</v>
      </c>
      <c r="H78" s="1051"/>
      <c r="I78" s="1051">
        <f t="shared" si="17"/>
        <v>0</v>
      </c>
      <c r="J78" s="1051">
        <f t="shared" si="18"/>
        <v>0</v>
      </c>
      <c r="K78" s="1051">
        <f t="shared" si="19"/>
        <v>0</v>
      </c>
      <c r="L78" s="1051"/>
      <c r="M78" s="843">
        <v>0</v>
      </c>
      <c r="N78" s="843">
        <v>0</v>
      </c>
      <c r="O78" s="843">
        <v>0</v>
      </c>
      <c r="P78" s="1051"/>
      <c r="Q78" s="843">
        <v>0</v>
      </c>
      <c r="R78" s="843">
        <v>0</v>
      </c>
      <c r="S78" s="843">
        <v>0</v>
      </c>
    </row>
    <row r="79" spans="1:19">
      <c r="A79" s="1081">
        <f t="shared" si="4"/>
        <v>2.6299999999999866</v>
      </c>
      <c r="B79" s="843" t="s">
        <v>1140</v>
      </c>
      <c r="C79" s="1051">
        <f t="shared" si="0"/>
        <v>0</v>
      </c>
      <c r="D79" s="1051">
        <f t="shared" si="1"/>
        <v>0</v>
      </c>
      <c r="E79" s="1051"/>
      <c r="F79" s="1051"/>
      <c r="G79" s="1051">
        <f t="shared" si="2"/>
        <v>0</v>
      </c>
      <c r="H79" s="1051"/>
      <c r="I79" s="1051">
        <f t="shared" si="17"/>
        <v>0</v>
      </c>
      <c r="J79" s="1051">
        <f t="shared" si="18"/>
        <v>0</v>
      </c>
      <c r="K79" s="1051">
        <f t="shared" si="19"/>
        <v>0</v>
      </c>
      <c r="L79" s="1051"/>
      <c r="M79" s="843">
        <v>0</v>
      </c>
      <c r="N79" s="843">
        <v>0</v>
      </c>
      <c r="O79" s="843">
        <v>0</v>
      </c>
      <c r="P79" s="1051"/>
      <c r="Q79" s="843">
        <v>0</v>
      </c>
      <c r="R79" s="843">
        <v>0</v>
      </c>
      <c r="S79" s="843">
        <v>0</v>
      </c>
    </row>
    <row r="80" spans="1:19">
      <c r="A80" s="1081">
        <f t="shared" si="4"/>
        <v>2.6399999999999864</v>
      </c>
      <c r="B80" s="843" t="s">
        <v>1141</v>
      </c>
      <c r="C80" s="1051">
        <f t="shared" si="0"/>
        <v>0</v>
      </c>
      <c r="D80" s="1051">
        <f t="shared" si="1"/>
        <v>0</v>
      </c>
      <c r="E80" s="1051"/>
      <c r="F80" s="1051"/>
      <c r="G80" s="1051">
        <f t="shared" si="2"/>
        <v>0</v>
      </c>
      <c r="H80" s="1051"/>
      <c r="I80" s="1051">
        <f t="shared" si="17"/>
        <v>0</v>
      </c>
      <c r="J80" s="1051">
        <f t="shared" si="18"/>
        <v>0</v>
      </c>
      <c r="K80" s="1051">
        <f t="shared" si="19"/>
        <v>0</v>
      </c>
      <c r="L80" s="1051"/>
      <c r="M80" s="843">
        <v>0</v>
      </c>
      <c r="N80" s="843">
        <v>0</v>
      </c>
      <c r="O80" s="843">
        <v>0</v>
      </c>
      <c r="P80" s="1051"/>
      <c r="Q80" s="843">
        <v>0</v>
      </c>
      <c r="R80" s="843">
        <v>0</v>
      </c>
      <c r="S80" s="843">
        <v>0</v>
      </c>
    </row>
    <row r="81" spans="1:19">
      <c r="A81" s="1081">
        <f t="shared" si="4"/>
        <v>2.6499999999999861</v>
      </c>
      <c r="B81" s="843" t="s">
        <v>1142</v>
      </c>
      <c r="C81" s="1051">
        <f t="shared" si="0"/>
        <v>0</v>
      </c>
      <c r="D81" s="1051">
        <f t="shared" si="1"/>
        <v>0</v>
      </c>
      <c r="E81" s="1051"/>
      <c r="F81" s="1051"/>
      <c r="G81" s="1051">
        <f t="shared" si="2"/>
        <v>0</v>
      </c>
      <c r="H81" s="1051"/>
      <c r="I81" s="1051">
        <f t="shared" si="17"/>
        <v>0</v>
      </c>
      <c r="J81" s="1051">
        <f t="shared" si="18"/>
        <v>0</v>
      </c>
      <c r="K81" s="1051">
        <f t="shared" si="19"/>
        <v>0</v>
      </c>
      <c r="L81" s="1051"/>
      <c r="M81" s="843">
        <v>0</v>
      </c>
      <c r="N81" s="843">
        <v>0</v>
      </c>
      <c r="O81" s="843">
        <v>0</v>
      </c>
      <c r="P81" s="1051"/>
      <c r="Q81" s="843">
        <v>0</v>
      </c>
      <c r="R81" s="843">
        <v>0</v>
      </c>
      <c r="S81" s="843">
        <v>0</v>
      </c>
    </row>
    <row r="82" spans="1:19">
      <c r="A82" s="1081">
        <f t="shared" si="4"/>
        <v>2.6599999999999859</v>
      </c>
      <c r="B82" s="843" t="s">
        <v>1143</v>
      </c>
      <c r="C82" s="1051">
        <f t="shared" si="0"/>
        <v>0</v>
      </c>
      <c r="D82" s="1051">
        <f t="shared" si="1"/>
        <v>0</v>
      </c>
      <c r="E82" s="1051"/>
      <c r="F82" s="1051"/>
      <c r="G82" s="1051">
        <f t="shared" si="2"/>
        <v>0</v>
      </c>
      <c r="H82" s="1051"/>
      <c r="I82" s="1051">
        <f t="shared" si="17"/>
        <v>0</v>
      </c>
      <c r="J82" s="1051">
        <f t="shared" si="18"/>
        <v>0</v>
      </c>
      <c r="K82" s="1051">
        <f t="shared" si="19"/>
        <v>0</v>
      </c>
      <c r="L82" s="1051"/>
      <c r="M82" s="843">
        <v>0</v>
      </c>
      <c r="N82" s="843">
        <v>0</v>
      </c>
      <c r="O82" s="843">
        <v>0</v>
      </c>
      <c r="P82" s="1051"/>
      <c r="Q82" s="843">
        <v>0</v>
      </c>
      <c r="R82" s="843">
        <v>0</v>
      </c>
      <c r="S82" s="843">
        <v>0</v>
      </c>
    </row>
    <row r="83" spans="1:19">
      <c r="A83" s="1081">
        <f t="shared" ref="A83:A102" si="26">A82+0.01</f>
        <v>2.6699999999999857</v>
      </c>
      <c r="B83" s="843" t="s">
        <v>1144</v>
      </c>
      <c r="C83" s="1051">
        <f t="shared" si="0"/>
        <v>671214.18</v>
      </c>
      <c r="D83" s="1051">
        <f t="shared" si="1"/>
        <v>0</v>
      </c>
      <c r="E83" s="1051"/>
      <c r="F83" s="1051"/>
      <c r="G83" s="1051">
        <f t="shared" si="2"/>
        <v>335607</v>
      </c>
      <c r="H83" s="1051"/>
      <c r="I83" s="1051">
        <f t="shared" si="17"/>
        <v>0</v>
      </c>
      <c r="J83" s="1051">
        <f t="shared" si="18"/>
        <v>0</v>
      </c>
      <c r="K83" s="1051">
        <f t="shared" si="19"/>
        <v>335607.09</v>
      </c>
      <c r="L83" s="1051"/>
      <c r="M83" s="843">
        <v>0</v>
      </c>
      <c r="N83" s="843">
        <v>0</v>
      </c>
      <c r="O83" s="843">
        <v>671214.18</v>
      </c>
      <c r="P83" s="1051"/>
      <c r="Q83" s="843">
        <v>0</v>
      </c>
      <c r="R83" s="843">
        <v>0</v>
      </c>
      <c r="S83" s="843">
        <v>0</v>
      </c>
    </row>
    <row r="84" spans="1:19">
      <c r="A84" s="1081">
        <f t="shared" si="26"/>
        <v>2.6799999999999855</v>
      </c>
      <c r="B84" s="843" t="s">
        <v>1145</v>
      </c>
      <c r="C84" s="1051">
        <f t="shared" si="0"/>
        <v>0</v>
      </c>
      <c r="D84" s="1051">
        <f t="shared" si="1"/>
        <v>0</v>
      </c>
      <c r="E84" s="1051"/>
      <c r="F84" s="1051"/>
      <c r="G84" s="1051">
        <f t="shared" si="2"/>
        <v>0</v>
      </c>
      <c r="H84" s="1051"/>
      <c r="I84" s="1051">
        <f t="shared" si="17"/>
        <v>0</v>
      </c>
      <c r="J84" s="1051">
        <f t="shared" si="18"/>
        <v>0</v>
      </c>
      <c r="K84" s="1051">
        <f t="shared" si="19"/>
        <v>0</v>
      </c>
      <c r="L84" s="1051"/>
      <c r="M84" s="843">
        <v>0</v>
      </c>
      <c r="N84" s="843">
        <v>0</v>
      </c>
      <c r="O84" s="843">
        <v>0</v>
      </c>
      <c r="P84" s="1051"/>
      <c r="Q84" s="843">
        <v>0</v>
      </c>
      <c r="R84" s="843">
        <v>0</v>
      </c>
      <c r="S84" s="843">
        <v>0</v>
      </c>
    </row>
    <row r="85" spans="1:19">
      <c r="A85" s="1081">
        <f t="shared" si="26"/>
        <v>2.6899999999999853</v>
      </c>
      <c r="B85" s="843" t="s">
        <v>1146</v>
      </c>
      <c r="C85" s="1051">
        <f t="shared" si="0"/>
        <v>77753.55</v>
      </c>
      <c r="D85" s="1051">
        <f t="shared" si="1"/>
        <v>-37157.61</v>
      </c>
      <c r="E85" s="1051"/>
      <c r="F85" s="1051"/>
      <c r="G85" s="1051">
        <f t="shared" si="2"/>
        <v>20298</v>
      </c>
      <c r="H85" s="1051"/>
      <c r="I85" s="1051">
        <f t="shared" si="17"/>
        <v>0</v>
      </c>
      <c r="J85" s="1051">
        <f t="shared" si="18"/>
        <v>0</v>
      </c>
      <c r="K85" s="1051">
        <f t="shared" si="19"/>
        <v>20297.97</v>
      </c>
      <c r="L85" s="1051"/>
      <c r="M85" s="843">
        <v>0</v>
      </c>
      <c r="N85" s="843">
        <v>0</v>
      </c>
      <c r="O85" s="843">
        <v>77753.55</v>
      </c>
      <c r="P85" s="1051"/>
      <c r="Q85" s="843">
        <v>0</v>
      </c>
      <c r="R85" s="843">
        <v>0</v>
      </c>
      <c r="S85" s="843">
        <v>-37157.61</v>
      </c>
    </row>
    <row r="86" spans="1:19">
      <c r="A86" s="1081">
        <f t="shared" si="26"/>
        <v>2.6999999999999851</v>
      </c>
      <c r="B86" s="843" t="s">
        <v>1147</v>
      </c>
      <c r="C86" s="1051">
        <f t="shared" si="0"/>
        <v>0</v>
      </c>
      <c r="D86" s="1051">
        <f t="shared" si="1"/>
        <v>0</v>
      </c>
      <c r="E86" s="1051"/>
      <c r="F86" s="1051"/>
      <c r="G86" s="1051">
        <f t="shared" si="2"/>
        <v>0</v>
      </c>
      <c r="H86" s="1051"/>
      <c r="I86" s="1051">
        <f t="shared" si="17"/>
        <v>0</v>
      </c>
      <c r="J86" s="1051">
        <f t="shared" si="18"/>
        <v>0</v>
      </c>
      <c r="K86" s="1051">
        <f t="shared" si="19"/>
        <v>0</v>
      </c>
      <c r="L86" s="1051"/>
      <c r="M86" s="843">
        <v>0</v>
      </c>
      <c r="N86" s="843">
        <v>0</v>
      </c>
      <c r="O86" s="843">
        <v>0</v>
      </c>
      <c r="P86" s="1051"/>
      <c r="Q86" s="843">
        <v>0</v>
      </c>
      <c r="R86" s="843">
        <v>0</v>
      </c>
      <c r="S86" s="843">
        <v>0</v>
      </c>
    </row>
    <row r="87" spans="1:19">
      <c r="A87" s="1081">
        <f t="shared" si="26"/>
        <v>2.7099999999999849</v>
      </c>
      <c r="B87" s="843" t="s">
        <v>725</v>
      </c>
      <c r="C87" s="1051">
        <f t="shared" si="0"/>
        <v>10134854.189999999</v>
      </c>
      <c r="D87" s="1051">
        <f t="shared" si="1"/>
        <v>11773251.09</v>
      </c>
      <c r="E87" s="1051"/>
      <c r="F87" s="1051"/>
      <c r="G87" s="1051">
        <f t="shared" si="2"/>
        <v>10954053</v>
      </c>
      <c r="H87" s="1051"/>
      <c r="I87" s="1051">
        <f t="shared" si="17"/>
        <v>0</v>
      </c>
      <c r="J87" s="1051">
        <f t="shared" si="18"/>
        <v>3638337.1749999998</v>
      </c>
      <c r="K87" s="1051">
        <f t="shared" si="19"/>
        <v>7315715.4649999999</v>
      </c>
      <c r="L87" s="1051"/>
      <c r="M87" s="843">
        <v>0</v>
      </c>
      <c r="N87" s="843">
        <v>3208874.05</v>
      </c>
      <c r="O87" s="843">
        <v>6925980.1399999997</v>
      </c>
      <c r="P87" s="1051"/>
      <c r="Q87" s="843">
        <v>0</v>
      </c>
      <c r="R87" s="843">
        <v>4067800.3</v>
      </c>
      <c r="S87" s="843">
        <v>7705450.79</v>
      </c>
    </row>
    <row r="88" spans="1:19">
      <c r="A88" s="1081">
        <f t="shared" si="26"/>
        <v>2.7199999999999847</v>
      </c>
      <c r="B88" s="843" t="s">
        <v>1148</v>
      </c>
      <c r="C88" s="1051">
        <f t="shared" ref="C88:C93" si="27">SUM(M88:O88)</f>
        <v>0</v>
      </c>
      <c r="D88" s="1051">
        <f t="shared" ref="D88:D93" si="28">SUM(Q88:S88)</f>
        <v>0</v>
      </c>
      <c r="E88" s="1051"/>
      <c r="F88" s="1051"/>
      <c r="G88" s="1051">
        <f t="shared" ref="G88:G102" si="29">ROUND(SUM(C88:F88)/2,0)</f>
        <v>0</v>
      </c>
      <c r="H88" s="1051"/>
      <c r="I88" s="1051">
        <f t="shared" ref="I88:K93" si="30">(M88+Q88)/2</f>
        <v>0</v>
      </c>
      <c r="J88" s="1051">
        <f t="shared" si="30"/>
        <v>0</v>
      </c>
      <c r="K88" s="1051">
        <f t="shared" si="30"/>
        <v>0</v>
      </c>
      <c r="L88" s="1051"/>
      <c r="M88" s="843">
        <v>0</v>
      </c>
      <c r="N88" s="843">
        <v>0</v>
      </c>
      <c r="O88" s="843">
        <v>0</v>
      </c>
      <c r="P88" s="1051"/>
      <c r="Q88" s="843">
        <v>0</v>
      </c>
      <c r="R88" s="843">
        <v>0</v>
      </c>
      <c r="S88" s="843">
        <v>0</v>
      </c>
    </row>
    <row r="89" spans="1:19">
      <c r="A89" s="1081">
        <f t="shared" si="26"/>
        <v>2.7299999999999844</v>
      </c>
      <c r="B89" s="843" t="s">
        <v>1149</v>
      </c>
      <c r="C89" s="1051">
        <f t="shared" si="27"/>
        <v>-73.77000000000001</v>
      </c>
      <c r="D89" s="1051">
        <f t="shared" si="28"/>
        <v>-0.06</v>
      </c>
      <c r="E89" s="1051"/>
      <c r="F89" s="1051"/>
      <c r="G89" s="1051">
        <f t="shared" si="29"/>
        <v>-37</v>
      </c>
      <c r="H89" s="1051"/>
      <c r="I89" s="1051">
        <f t="shared" si="30"/>
        <v>0</v>
      </c>
      <c r="J89" s="1051">
        <f t="shared" si="30"/>
        <v>-20.745000000000001</v>
      </c>
      <c r="K89" s="1051">
        <f t="shared" si="30"/>
        <v>-16.170000000000002</v>
      </c>
      <c r="L89" s="1051"/>
      <c r="M89" s="843">
        <v>0</v>
      </c>
      <c r="N89" s="843">
        <v>-41.43</v>
      </c>
      <c r="O89" s="843">
        <v>-32.340000000000003</v>
      </c>
      <c r="P89" s="1051"/>
      <c r="Q89" s="843">
        <v>0</v>
      </c>
      <c r="R89" s="843">
        <v>-0.06</v>
      </c>
      <c r="S89" s="843">
        <v>0</v>
      </c>
    </row>
    <row r="90" spans="1:19">
      <c r="A90" s="1081">
        <f t="shared" si="26"/>
        <v>2.7399999999999842</v>
      </c>
      <c r="B90" s="843" t="s">
        <v>1150</v>
      </c>
      <c r="C90" s="1051">
        <f t="shared" si="27"/>
        <v>-10987.16</v>
      </c>
      <c r="D90" s="1051">
        <f t="shared" si="28"/>
        <v>53559.63</v>
      </c>
      <c r="E90" s="1051"/>
      <c r="F90" s="1051"/>
      <c r="G90" s="1051">
        <f t="shared" si="29"/>
        <v>21286</v>
      </c>
      <c r="H90" s="1051"/>
      <c r="I90" s="1051">
        <f t="shared" si="30"/>
        <v>0</v>
      </c>
      <c r="J90" s="1051">
        <f t="shared" si="30"/>
        <v>0</v>
      </c>
      <c r="K90" s="1051">
        <f t="shared" si="30"/>
        <v>21286.235000000001</v>
      </c>
      <c r="L90" s="1051"/>
      <c r="M90" s="843">
        <v>0</v>
      </c>
      <c r="N90" s="843">
        <v>0</v>
      </c>
      <c r="O90" s="843">
        <v>-10987.16</v>
      </c>
      <c r="P90" s="1051"/>
      <c r="Q90" s="843">
        <v>0</v>
      </c>
      <c r="R90" s="843">
        <v>0</v>
      </c>
      <c r="S90" s="843">
        <v>53559.63</v>
      </c>
    </row>
    <row r="91" spans="1:19">
      <c r="A91" s="1081">
        <f t="shared" si="26"/>
        <v>2.749999999999984</v>
      </c>
      <c r="B91" s="843" t="s">
        <v>1151</v>
      </c>
      <c r="C91" s="1051">
        <f t="shared" si="27"/>
        <v>495504.18</v>
      </c>
      <c r="D91" s="1051">
        <f t="shared" si="28"/>
        <v>673036.65</v>
      </c>
      <c r="E91" s="1051"/>
      <c r="F91" s="1051"/>
      <c r="G91" s="1051">
        <f t="shared" si="29"/>
        <v>584270</v>
      </c>
      <c r="H91" s="1051"/>
      <c r="I91" s="1051">
        <f t="shared" si="30"/>
        <v>0</v>
      </c>
      <c r="J91" s="1051">
        <f t="shared" si="30"/>
        <v>0</v>
      </c>
      <c r="K91" s="1051">
        <f t="shared" si="30"/>
        <v>584270.41500000004</v>
      </c>
      <c r="L91" s="1051"/>
      <c r="M91" s="843">
        <v>0</v>
      </c>
      <c r="N91" s="843">
        <v>0</v>
      </c>
      <c r="O91" s="843">
        <v>495504.18</v>
      </c>
      <c r="P91" s="1051"/>
      <c r="Q91" s="843">
        <v>0</v>
      </c>
      <c r="R91" s="843">
        <v>0</v>
      </c>
      <c r="S91" s="843">
        <v>673036.65</v>
      </c>
    </row>
    <row r="92" spans="1:19">
      <c r="A92" s="1081">
        <f t="shared" si="26"/>
        <v>2.7599999999999838</v>
      </c>
      <c r="B92" s="843" t="s">
        <v>1152</v>
      </c>
      <c r="C92" s="1051">
        <f t="shared" si="27"/>
        <v>-7.0000000000000007E-2</v>
      </c>
      <c r="D92" s="1051">
        <f t="shared" si="28"/>
        <v>-7.0000000000000007E-2</v>
      </c>
      <c r="E92" s="1051"/>
      <c r="F92" s="1051"/>
      <c r="G92" s="1051">
        <f t="shared" si="29"/>
        <v>0</v>
      </c>
      <c r="H92" s="1051"/>
      <c r="I92" s="1051">
        <f t="shared" si="30"/>
        <v>0</v>
      </c>
      <c r="J92" s="1051">
        <f t="shared" si="30"/>
        <v>7.0000000000000007E-2</v>
      </c>
      <c r="K92" s="1051">
        <f t="shared" si="30"/>
        <v>-0.14000000000000001</v>
      </c>
      <c r="L92" s="1051"/>
      <c r="M92" s="843">
        <v>0</v>
      </c>
      <c r="N92" s="843">
        <v>7.0000000000000007E-2</v>
      </c>
      <c r="O92" s="843">
        <v>-0.14000000000000001</v>
      </c>
      <c r="P92" s="1051"/>
      <c r="Q92" s="843">
        <v>0</v>
      </c>
      <c r="R92" s="843">
        <v>7.0000000000000007E-2</v>
      </c>
      <c r="S92" s="843">
        <v>-0.14000000000000001</v>
      </c>
    </row>
    <row r="93" spans="1:19">
      <c r="A93" s="1081">
        <f t="shared" si="26"/>
        <v>2.7699999999999836</v>
      </c>
      <c r="B93" s="843" t="s">
        <v>1153</v>
      </c>
      <c r="C93" s="1051">
        <f t="shared" si="27"/>
        <v>1844651.3199999998</v>
      </c>
      <c r="D93" s="1051">
        <f t="shared" si="28"/>
        <v>1962325.03</v>
      </c>
      <c r="E93" s="1051"/>
      <c r="F93" s="1051"/>
      <c r="G93" s="1051">
        <f t="shared" si="29"/>
        <v>1903488</v>
      </c>
      <c r="H93" s="1051"/>
      <c r="I93" s="1051">
        <f t="shared" si="30"/>
        <v>0</v>
      </c>
      <c r="J93" s="1051">
        <f t="shared" si="30"/>
        <v>1014876.3300000001</v>
      </c>
      <c r="K93" s="1051">
        <f t="shared" si="30"/>
        <v>888611.84499999997</v>
      </c>
      <c r="L93" s="1051"/>
      <c r="M93" s="843">
        <v>0</v>
      </c>
      <c r="N93" s="843">
        <v>978636.84</v>
      </c>
      <c r="O93" s="843">
        <v>866014.48</v>
      </c>
      <c r="P93" s="1051"/>
      <c r="Q93" s="843">
        <v>0</v>
      </c>
      <c r="R93" s="843">
        <v>1051115.82</v>
      </c>
      <c r="S93" s="843">
        <v>911209.21</v>
      </c>
    </row>
    <row r="94" spans="1:19">
      <c r="A94" s="1081">
        <f t="shared" si="26"/>
        <v>2.7799999999999834</v>
      </c>
      <c r="B94" s="843" t="s">
        <v>1019</v>
      </c>
      <c r="C94" s="843">
        <f t="shared" ref="C94:D101" si="31">-E94</f>
        <v>695201.54</v>
      </c>
      <c r="D94" s="843">
        <f t="shared" si="31"/>
        <v>1466295.57</v>
      </c>
      <c r="E94" s="1051">
        <v>-695201.54</v>
      </c>
      <c r="F94" s="1051">
        <v>-1466295.57</v>
      </c>
      <c r="G94" s="1051">
        <f t="shared" si="29"/>
        <v>0</v>
      </c>
      <c r="H94" s="1051"/>
      <c r="I94" s="1051"/>
      <c r="J94" s="1051"/>
      <c r="K94" s="1051"/>
      <c r="L94" s="1051"/>
      <c r="M94" s="1051"/>
      <c r="N94" s="1051"/>
      <c r="O94" s="1051"/>
      <c r="P94" s="1051"/>
      <c r="Q94" s="1051"/>
      <c r="R94" s="1051"/>
      <c r="S94" s="1051"/>
    </row>
    <row r="95" spans="1:19">
      <c r="A95" s="1081">
        <f t="shared" si="26"/>
        <v>2.7899999999999832</v>
      </c>
      <c r="B95" s="843" t="s">
        <v>1154</v>
      </c>
      <c r="C95" s="843">
        <f t="shared" si="31"/>
        <v>893858.76</v>
      </c>
      <c r="D95" s="843">
        <f t="shared" si="31"/>
        <v>751403.96</v>
      </c>
      <c r="E95" s="1051">
        <v>-893858.76</v>
      </c>
      <c r="F95" s="1051">
        <v>-751403.96</v>
      </c>
      <c r="G95" s="1051">
        <f t="shared" si="29"/>
        <v>0</v>
      </c>
      <c r="H95" s="1051"/>
      <c r="I95" s="1051"/>
      <c r="J95" s="1051"/>
      <c r="K95" s="1051"/>
      <c r="L95" s="1051"/>
      <c r="M95" s="1051"/>
      <c r="N95" s="1051"/>
      <c r="O95" s="1051"/>
      <c r="P95" s="1051"/>
      <c r="Q95" s="1051"/>
      <c r="R95" s="1051"/>
      <c r="S95" s="1051"/>
    </row>
    <row r="96" spans="1:19">
      <c r="A96" s="1081">
        <f t="shared" si="26"/>
        <v>2.7999999999999829</v>
      </c>
      <c r="B96" s="843" t="s">
        <v>1155</v>
      </c>
      <c r="C96" s="843">
        <f t="shared" si="31"/>
        <v>121101282.5</v>
      </c>
      <c r="D96" s="843">
        <f t="shared" si="31"/>
        <v>111844493.58</v>
      </c>
      <c r="E96" s="1051">
        <v>-121101282.5</v>
      </c>
      <c r="F96" s="1051">
        <v>-111844493.58</v>
      </c>
      <c r="G96" s="1051">
        <f t="shared" si="29"/>
        <v>0</v>
      </c>
      <c r="H96" s="1051"/>
      <c r="I96" s="1051"/>
      <c r="J96" s="1051"/>
      <c r="K96" s="1051"/>
      <c r="L96" s="1051"/>
      <c r="M96" s="1051"/>
      <c r="N96" s="1051"/>
      <c r="O96" s="1051"/>
      <c r="P96" s="1051"/>
      <c r="Q96" s="1051"/>
      <c r="R96" s="1051"/>
      <c r="S96" s="1051"/>
    </row>
    <row r="97" spans="1:256">
      <c r="A97" s="1081">
        <f t="shared" si="26"/>
        <v>2.8099999999999827</v>
      </c>
      <c r="B97" s="843" t="s">
        <v>1296</v>
      </c>
      <c r="C97" s="843">
        <f t="shared" ref="C97:C98" si="32">-E97</f>
        <v>0</v>
      </c>
      <c r="D97" s="843">
        <f t="shared" ref="D97:D98" si="33">-F97</f>
        <v>5916862</v>
      </c>
      <c r="E97" s="1051">
        <v>0</v>
      </c>
      <c r="F97" s="1051">
        <v>-5916862</v>
      </c>
      <c r="G97" s="1051">
        <f t="shared" si="29"/>
        <v>0</v>
      </c>
      <c r="H97" s="1051"/>
      <c r="I97" s="1051"/>
      <c r="J97" s="1051"/>
      <c r="K97" s="1051"/>
      <c r="L97" s="1051"/>
      <c r="M97" s="1051"/>
      <c r="N97" s="1051"/>
      <c r="O97" s="1051"/>
      <c r="P97" s="1051"/>
      <c r="Q97" s="1051"/>
      <c r="R97" s="1051"/>
      <c r="S97" s="1051"/>
    </row>
    <row r="98" spans="1:256">
      <c r="A98" s="1081">
        <f t="shared" si="26"/>
        <v>2.8199999999999825</v>
      </c>
      <c r="B98" s="843" t="s">
        <v>1295</v>
      </c>
      <c r="C98" s="843">
        <f t="shared" si="32"/>
        <v>0</v>
      </c>
      <c r="D98" s="843">
        <f t="shared" si="33"/>
        <v>-28452.170000000002</v>
      </c>
      <c r="E98" s="1051">
        <v>0</v>
      </c>
      <c r="F98" s="1051">
        <v>28452.170000000002</v>
      </c>
      <c r="G98" s="1051">
        <f t="shared" si="29"/>
        <v>0</v>
      </c>
      <c r="H98" s="1051"/>
      <c r="I98" s="1051"/>
      <c r="J98" s="1051"/>
      <c r="K98" s="1051"/>
      <c r="L98" s="1051"/>
      <c r="M98" s="1051"/>
      <c r="N98" s="1051"/>
      <c r="O98" s="1051"/>
      <c r="P98" s="1051"/>
      <c r="Q98" s="1051"/>
      <c r="R98" s="1051"/>
      <c r="S98" s="1051"/>
    </row>
    <row r="99" spans="1:256">
      <c r="A99" s="1081">
        <f t="shared" si="26"/>
        <v>2.8299999999999823</v>
      </c>
      <c r="B99" s="843" t="s">
        <v>1156</v>
      </c>
      <c r="C99" s="843">
        <f t="shared" si="31"/>
        <v>0</v>
      </c>
      <c r="D99" s="843">
        <f t="shared" si="31"/>
        <v>0</v>
      </c>
      <c r="E99" s="1051">
        <v>0</v>
      </c>
      <c r="F99" s="1051">
        <v>0</v>
      </c>
      <c r="G99" s="1051">
        <f t="shared" si="29"/>
        <v>0</v>
      </c>
      <c r="H99" s="1051"/>
      <c r="I99" s="1051"/>
      <c r="J99" s="1051"/>
      <c r="K99" s="1051"/>
      <c r="L99" s="1051"/>
      <c r="M99" s="1051"/>
      <c r="N99" s="1051"/>
      <c r="O99" s="1051"/>
      <c r="P99" s="1051"/>
      <c r="Q99" s="1051"/>
      <c r="R99" s="1051"/>
      <c r="S99" s="1051"/>
    </row>
    <row r="100" spans="1:256">
      <c r="A100" s="1081">
        <f t="shared" si="26"/>
        <v>2.8399999999999821</v>
      </c>
      <c r="B100" s="843" t="s">
        <v>1157</v>
      </c>
      <c r="C100" s="843">
        <f t="shared" si="31"/>
        <v>0</v>
      </c>
      <c r="D100" s="843">
        <f t="shared" si="31"/>
        <v>0</v>
      </c>
      <c r="E100" s="1051">
        <v>0</v>
      </c>
      <c r="F100" s="1051">
        <v>0</v>
      </c>
      <c r="G100" s="1051">
        <f t="shared" si="29"/>
        <v>0</v>
      </c>
      <c r="H100" s="1051"/>
      <c r="I100" s="1051"/>
      <c r="J100" s="1051"/>
      <c r="K100" s="1051"/>
      <c r="L100" s="1051"/>
      <c r="M100" s="1051"/>
      <c r="N100" s="1051"/>
      <c r="O100" s="1051"/>
      <c r="P100" s="1051"/>
      <c r="Q100" s="1051"/>
      <c r="R100" s="1051"/>
      <c r="S100" s="1051"/>
    </row>
    <row r="101" spans="1:256">
      <c r="A101" s="1081">
        <f t="shared" si="26"/>
        <v>2.8499999999999819</v>
      </c>
      <c r="B101" s="843" t="s">
        <v>1158</v>
      </c>
      <c r="C101" s="843">
        <f t="shared" si="31"/>
        <v>0</v>
      </c>
      <c r="D101" s="843">
        <f t="shared" si="31"/>
        <v>0</v>
      </c>
      <c r="E101" s="1051">
        <v>0</v>
      </c>
      <c r="F101" s="1051">
        <v>0</v>
      </c>
      <c r="G101" s="1051">
        <f t="shared" si="29"/>
        <v>0</v>
      </c>
      <c r="H101" s="1051"/>
      <c r="I101" s="1051"/>
      <c r="J101" s="1051"/>
      <c r="K101" s="1051"/>
      <c r="L101" s="1051"/>
      <c r="M101" s="1051"/>
      <c r="N101" s="1051"/>
      <c r="O101" s="1051"/>
      <c r="P101" s="1051"/>
      <c r="Q101" s="1051"/>
      <c r="R101" s="1051"/>
      <c r="S101" s="1051"/>
    </row>
    <row r="102" spans="1:256">
      <c r="A102" s="1081">
        <f t="shared" si="26"/>
        <v>2.8599999999999817</v>
      </c>
      <c r="B102" s="843" t="s">
        <v>1159</v>
      </c>
      <c r="C102" s="1051">
        <f>SUM(M102:O102)</f>
        <v>1509708.44</v>
      </c>
      <c r="D102" s="1051">
        <f>SUM(Q102:S102)</f>
        <v>1584191.94</v>
      </c>
      <c r="E102" s="1051"/>
      <c r="F102" s="1051"/>
      <c r="G102" s="1051">
        <f t="shared" si="29"/>
        <v>1546950</v>
      </c>
      <c r="H102" s="1051"/>
      <c r="I102" s="1051">
        <f>(M102+Q102)/2</f>
        <v>0</v>
      </c>
      <c r="J102" s="1051">
        <f>(N102+R102)/2</f>
        <v>0</v>
      </c>
      <c r="K102" s="1051">
        <f>(O102+S102)/2</f>
        <v>1546950.19</v>
      </c>
      <c r="L102" s="1051"/>
      <c r="M102" s="1053">
        <v>0</v>
      </c>
      <c r="N102" s="1053">
        <v>0</v>
      </c>
      <c r="O102" s="1053">
        <v>1509708.44</v>
      </c>
      <c r="P102" s="1051"/>
      <c r="Q102" s="1053"/>
      <c r="R102" s="1053"/>
      <c r="S102" s="1053">
        <v>1584191.94</v>
      </c>
    </row>
    <row r="103" spans="1:256">
      <c r="A103" s="1071"/>
      <c r="B103" s="1051"/>
      <c r="C103" s="1051"/>
      <c r="D103" s="1051"/>
      <c r="E103" s="1051"/>
      <c r="F103" s="1051"/>
      <c r="G103" s="1051"/>
      <c r="H103" s="1051"/>
      <c r="I103" s="1051"/>
      <c r="J103" s="1051"/>
      <c r="K103" s="1051"/>
      <c r="L103" s="1051"/>
      <c r="M103" s="1051"/>
      <c r="N103" s="1051"/>
      <c r="O103" s="1051"/>
      <c r="P103" s="1051"/>
      <c r="Q103" s="1051"/>
      <c r="R103" s="1051"/>
      <c r="S103" s="1051"/>
    </row>
    <row r="104" spans="1:256" ht="13.5" thickBot="1">
      <c r="A104" s="22">
        <v>3</v>
      </c>
      <c r="B104" s="1057" t="s">
        <v>735</v>
      </c>
      <c r="C104" s="1072">
        <f>SUM(C17:C103)</f>
        <v>210800135.26000005</v>
      </c>
      <c r="D104" s="1072">
        <f>SUM(D17:D103)</f>
        <v>204357451.18000001</v>
      </c>
      <c r="E104" s="1072">
        <f>SUM(E17:E103)</f>
        <v>-122690342.8</v>
      </c>
      <c r="F104" s="1072">
        <f>SUM(F17:F103)</f>
        <v>-119950602.94</v>
      </c>
      <c r="G104" s="1072">
        <f>SUM(G17:G103)</f>
        <v>86258318</v>
      </c>
      <c r="H104" s="1051"/>
      <c r="I104" s="1072">
        <f>SUM(I17:I103)</f>
        <v>0</v>
      </c>
      <c r="J104" s="1072">
        <f>SUM(J17:J103)</f>
        <v>16215240.595000006</v>
      </c>
      <c r="K104" s="1072">
        <f>SUM(K17:K103)</f>
        <v>70043079.75500001</v>
      </c>
      <c r="L104" s="1051"/>
      <c r="M104" s="1072">
        <f>SUM(M17:M103)</f>
        <v>0</v>
      </c>
      <c r="N104" s="1072">
        <f>SUM(N17:N103)</f>
        <v>15771835.169999998</v>
      </c>
      <c r="O104" s="1072">
        <f>SUM(O17:O103)</f>
        <v>72337957.289999992</v>
      </c>
      <c r="P104" s="1051"/>
      <c r="Q104" s="1072">
        <f>SUM(Q17:Q103)</f>
        <v>0</v>
      </c>
      <c r="R104" s="1072">
        <f>SUM(R17:R103)</f>
        <v>16658646.020000005</v>
      </c>
      <c r="S104" s="1072">
        <f>SUM(S17:S103)</f>
        <v>67748202.219999999</v>
      </c>
    </row>
    <row r="105" spans="1:256" ht="13.5" thickTop="1">
      <c r="A105" s="1">
        <v>4</v>
      </c>
      <c r="B105" s="1121" t="s">
        <v>738</v>
      </c>
      <c r="C105" s="1122">
        <f>C25+C75</f>
        <v>387729.21</v>
      </c>
      <c r="D105" s="1122">
        <f>D25+D75</f>
        <v>396915.06</v>
      </c>
      <c r="E105" s="1122">
        <f>E25+E75</f>
        <v>0</v>
      </c>
      <c r="F105" s="1122">
        <f>F25+F75</f>
        <v>0</v>
      </c>
      <c r="G105" s="1122">
        <f>G25+G75</f>
        <v>392322</v>
      </c>
      <c r="H105" s="6"/>
      <c r="I105" s="1122">
        <f>I25+I75</f>
        <v>0</v>
      </c>
      <c r="J105" s="1122">
        <f>J25+J75</f>
        <v>8688.9000000000015</v>
      </c>
      <c r="K105" s="1122">
        <f>K25+K75</f>
        <v>383633.23499999999</v>
      </c>
      <c r="L105" s="6"/>
      <c r="M105" s="1122">
        <f>M25+M75</f>
        <v>0</v>
      </c>
      <c r="N105" s="1122">
        <f>N25+N75</f>
        <v>8420.43</v>
      </c>
      <c r="O105" s="1122">
        <f>O25+O75</f>
        <v>379308.78</v>
      </c>
      <c r="P105" s="6"/>
      <c r="Q105" s="1122">
        <f>Q25+Q75</f>
        <v>0</v>
      </c>
      <c r="R105" s="1122">
        <f>R25+R75</f>
        <v>8957.3700000000008</v>
      </c>
      <c r="S105" s="1122">
        <f>S25+S75</f>
        <v>387957.69</v>
      </c>
      <c r="T105" s="6"/>
      <c r="IV105" s="1073"/>
    </row>
    <row r="106" spans="1:256">
      <c r="I106" s="1073"/>
    </row>
    <row r="142" spans="7:7">
      <c r="G142">
        <v>0</v>
      </c>
    </row>
    <row r="159" spans="7:12">
      <c r="G159" s="1295"/>
      <c r="L159" s="129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85"/>
  <sheetViews>
    <sheetView zoomScaleNormal="100" workbookViewId="0">
      <selection activeCell="I9" sqref="A9:J10"/>
    </sheetView>
  </sheetViews>
  <sheetFormatPr defaultColWidth="10" defaultRowHeight="12"/>
  <cols>
    <col min="1" max="1" width="9.42578125" style="1373" customWidth="1"/>
    <col min="2" max="2" width="20.85546875" style="1374" customWidth="1"/>
    <col min="3" max="3" width="35.5703125" style="1373" customWidth="1"/>
    <col min="4" max="4" width="12.85546875" style="1373" customWidth="1"/>
    <col min="5" max="5" width="10.42578125" style="1373" customWidth="1"/>
    <col min="6" max="6" width="16.42578125" style="1373" customWidth="1"/>
    <col min="7" max="7" width="12" style="1373" customWidth="1"/>
    <col min="8" max="8" width="14.28515625" style="1373" bestFit="1" customWidth="1"/>
    <col min="9" max="9" width="18.85546875" style="1373" customWidth="1"/>
    <col min="10" max="10" width="15.5703125" style="1373" customWidth="1"/>
    <col min="11" max="11" width="16.140625" style="1373" customWidth="1"/>
    <col min="12" max="13" width="15" style="1373" customWidth="1"/>
    <col min="14" max="14" width="13.5703125" style="1373" customWidth="1"/>
    <col min="15" max="15" width="15" style="1373" customWidth="1"/>
    <col min="16" max="17" width="17.5703125" style="1373" customWidth="1"/>
    <col min="18" max="18" width="33" style="1373" customWidth="1"/>
    <col min="19" max="19" width="15" style="1373" customWidth="1"/>
    <col min="20" max="21" width="14.5703125" style="1373" bestFit="1" customWidth="1"/>
    <col min="22" max="22" width="10.5703125" style="1373" bestFit="1" customWidth="1"/>
    <col min="23" max="16384" width="10" style="1373"/>
  </cols>
  <sheetData>
    <row r="1" spans="1:23" ht="15">
      <c r="A1" s="1378" t="s">
        <v>1171</v>
      </c>
      <c r="B1" s="1377"/>
      <c r="C1" s="1377"/>
      <c r="D1" s="1377"/>
      <c r="E1" s="1377"/>
      <c r="F1" s="1377"/>
      <c r="G1" s="1377"/>
      <c r="H1" s="1377"/>
      <c r="I1" s="1377"/>
      <c r="J1" s="1377"/>
      <c r="K1" s="1377"/>
      <c r="L1" s="1377"/>
      <c r="M1" s="1377"/>
      <c r="N1" s="1377"/>
      <c r="O1" s="1377"/>
      <c r="P1" s="1377"/>
      <c r="Q1" s="1377"/>
      <c r="R1" s="1438"/>
      <c r="S1" s="1377"/>
      <c r="T1" s="1377"/>
      <c r="U1" s="1377"/>
      <c r="V1" s="1377"/>
      <c r="W1" s="1377"/>
    </row>
    <row r="2" spans="1:23" ht="15">
      <c r="A2" s="1378" t="s">
        <v>1172</v>
      </c>
      <c r="B2" s="1377"/>
      <c r="C2" s="1377"/>
      <c r="D2" s="1377"/>
      <c r="E2" s="1377"/>
      <c r="F2" s="1377"/>
      <c r="G2" s="1377"/>
      <c r="H2" s="1377"/>
      <c r="I2" s="1377"/>
      <c r="J2" s="1377"/>
      <c r="K2" s="1377"/>
      <c r="L2" s="1377"/>
      <c r="M2" s="1377"/>
      <c r="N2" s="1377"/>
      <c r="O2" s="1377"/>
      <c r="P2" s="1377"/>
      <c r="Q2" s="1377"/>
      <c r="R2" s="1438"/>
      <c r="S2" s="1377"/>
      <c r="T2" s="1377"/>
      <c r="U2" s="1377"/>
      <c r="V2" s="1380"/>
      <c r="W2" s="1377"/>
    </row>
    <row r="3" spans="1:23" ht="15">
      <c r="A3" s="1378" t="s">
        <v>1173</v>
      </c>
      <c r="B3" s="1377"/>
      <c r="C3" s="1377"/>
      <c r="D3" s="1377"/>
      <c r="E3" s="1377"/>
      <c r="F3" s="1377"/>
      <c r="G3" s="1377"/>
      <c r="H3" s="1377"/>
      <c r="I3" s="1377"/>
      <c r="J3" s="1377"/>
      <c r="K3" s="1377"/>
      <c r="L3" s="1377"/>
      <c r="M3" s="1377"/>
      <c r="N3" s="1377"/>
      <c r="O3" s="1377"/>
      <c r="P3" s="1377"/>
      <c r="Q3" s="1377"/>
      <c r="R3" s="1438"/>
      <c r="S3" s="1377"/>
      <c r="T3" s="1377"/>
      <c r="U3" s="1377"/>
      <c r="V3" s="1381"/>
      <c r="W3" s="1377"/>
    </row>
    <row r="4" spans="1:23" ht="15">
      <c r="A4" s="1378" t="s">
        <v>1300</v>
      </c>
      <c r="B4" s="1377"/>
      <c r="C4" s="1377"/>
      <c r="D4" s="1377"/>
      <c r="E4" s="1377"/>
      <c r="F4" s="1377"/>
      <c r="G4" s="1382"/>
      <c r="H4" s="1377"/>
      <c r="I4" s="1377"/>
      <c r="J4" s="1377"/>
      <c r="K4" s="1377"/>
      <c r="L4" s="1377"/>
      <c r="M4" s="1377"/>
      <c r="N4" s="1377"/>
      <c r="O4" s="1377"/>
      <c r="P4" s="1377"/>
      <c r="Q4" s="1377"/>
      <c r="R4" s="1377"/>
      <c r="S4" s="1377"/>
      <c r="T4" s="1377"/>
      <c r="U4" s="1377"/>
      <c r="V4" s="1377"/>
      <c r="W4" s="1377"/>
    </row>
    <row r="5" spans="1:23" ht="15">
      <c r="A5" s="1378" t="s">
        <v>1174</v>
      </c>
      <c r="B5" s="1377"/>
      <c r="C5" s="1377"/>
      <c r="D5" s="1377"/>
      <c r="E5" s="1377"/>
      <c r="F5" s="1377"/>
      <c r="G5" s="1377"/>
      <c r="H5" s="1377"/>
      <c r="I5" s="1383"/>
      <c r="J5" s="1383"/>
      <c r="K5" s="1377"/>
      <c r="L5" s="1377"/>
      <c r="M5" s="1377"/>
      <c r="N5" s="1377"/>
      <c r="O5" s="1377"/>
      <c r="P5" s="1383"/>
      <c r="Q5" s="1383"/>
      <c r="R5" s="1377"/>
      <c r="S5" s="1377"/>
      <c r="T5" s="1377"/>
      <c r="U5" s="1377"/>
      <c r="V5" s="1377"/>
      <c r="W5" s="1377"/>
    </row>
    <row r="6" spans="1:23" ht="15">
      <c r="A6" s="1377"/>
      <c r="B6" s="1377"/>
      <c r="C6" s="1377"/>
      <c r="D6" s="1377"/>
      <c r="E6" s="1377"/>
      <c r="F6" s="1377"/>
      <c r="G6" s="1377"/>
      <c r="H6" s="1377"/>
      <c r="I6" s="1377"/>
      <c r="J6" s="1383"/>
      <c r="K6" s="1384"/>
      <c r="L6" s="1379"/>
      <c r="M6" s="1379"/>
      <c r="N6" s="1379"/>
      <c r="O6" s="1379"/>
      <c r="P6" s="1379"/>
      <c r="Q6" s="1379"/>
      <c r="R6" s="1377"/>
      <c r="S6" s="1377"/>
      <c r="T6" s="1377"/>
      <c r="U6" s="1377"/>
      <c r="V6" s="1377"/>
      <c r="W6" s="1377"/>
    </row>
    <row r="7" spans="1:23" ht="15">
      <c r="A7" s="1377"/>
      <c r="B7" s="1385"/>
      <c r="C7" s="1385"/>
      <c r="D7" s="1385"/>
      <c r="E7" s="1385"/>
      <c r="F7" s="1385"/>
      <c r="G7" s="1385"/>
      <c r="H7" s="1385"/>
      <c r="I7" s="1385"/>
      <c r="J7" s="1385"/>
      <c r="K7" s="1385"/>
      <c r="L7" s="1385"/>
      <c r="M7" s="1385"/>
      <c r="N7" s="1385"/>
      <c r="O7" s="1385"/>
      <c r="P7" s="1385"/>
      <c r="Q7" s="1379"/>
      <c r="R7" s="1377"/>
      <c r="S7" s="1377"/>
      <c r="T7" s="1377"/>
      <c r="U7" s="1377"/>
      <c r="V7" s="1377"/>
      <c r="W7" s="1377"/>
    </row>
    <row r="8" spans="1:23" ht="15">
      <c r="A8" s="1379" t="s">
        <v>148</v>
      </c>
      <c r="B8" s="1379" t="s">
        <v>149</v>
      </c>
      <c r="C8" s="1379" t="s">
        <v>150</v>
      </c>
      <c r="D8" s="1379" t="s">
        <v>151</v>
      </c>
      <c r="E8" s="1379" t="s">
        <v>152</v>
      </c>
      <c r="F8" s="1379" t="s">
        <v>153</v>
      </c>
      <c r="G8" s="1379" t="s">
        <v>154</v>
      </c>
      <c r="H8" s="1379" t="s">
        <v>155</v>
      </c>
      <c r="I8" s="1379" t="s">
        <v>1175</v>
      </c>
      <c r="J8" s="1379" t="s">
        <v>1176</v>
      </c>
      <c r="K8" s="1379" t="s">
        <v>158</v>
      </c>
      <c r="L8" s="1379" t="s">
        <v>159</v>
      </c>
      <c r="M8" s="1379" t="s">
        <v>160</v>
      </c>
      <c r="N8" s="1379" t="s">
        <v>245</v>
      </c>
      <c r="O8" s="1379" t="s">
        <v>304</v>
      </c>
      <c r="P8" s="1379" t="s">
        <v>350</v>
      </c>
      <c r="Q8" s="1379" t="s">
        <v>351</v>
      </c>
      <c r="R8" s="1379" t="s">
        <v>352</v>
      </c>
      <c r="S8" s="1377"/>
      <c r="T8" s="1377"/>
      <c r="U8" s="1377"/>
      <c r="V8" s="1377"/>
      <c r="W8" s="1377"/>
    </row>
    <row r="9" spans="1:23" ht="14.45" customHeight="1">
      <c r="A9" s="1378" t="s">
        <v>1177</v>
      </c>
      <c r="B9" s="1387"/>
      <c r="C9" s="1387"/>
      <c r="D9" s="1387"/>
      <c r="E9" s="1387"/>
      <c r="F9" s="1377"/>
      <c r="G9" s="1377"/>
      <c r="H9" s="1377"/>
      <c r="I9" s="1672" t="s">
        <v>1301</v>
      </c>
      <c r="J9" s="1672"/>
      <c r="K9" s="1674" t="s">
        <v>1178</v>
      </c>
      <c r="L9" s="1674"/>
      <c r="M9" s="1674"/>
      <c r="N9" s="1671" t="s">
        <v>1179</v>
      </c>
      <c r="O9" s="1671"/>
      <c r="P9" s="1672" t="s">
        <v>1302</v>
      </c>
      <c r="Q9" s="1672"/>
      <c r="R9" s="1377"/>
      <c r="S9" s="1377"/>
      <c r="T9" s="1377"/>
      <c r="U9" s="1377"/>
      <c r="V9" s="1377"/>
      <c r="W9" s="1377"/>
    </row>
    <row r="10" spans="1:23" ht="72">
      <c r="A10" s="1388" t="s">
        <v>1180</v>
      </c>
      <c r="B10" s="1390" t="s">
        <v>1375</v>
      </c>
      <c r="C10" s="1389" t="s">
        <v>1181</v>
      </c>
      <c r="D10" s="1390" t="s">
        <v>1182</v>
      </c>
      <c r="E10" s="1390" t="s">
        <v>1183</v>
      </c>
      <c r="F10" s="1390" t="s">
        <v>1376</v>
      </c>
      <c r="G10" s="1390" t="s">
        <v>1377</v>
      </c>
      <c r="H10" s="1390" t="s">
        <v>1184</v>
      </c>
      <c r="I10" s="1621" t="s">
        <v>1378</v>
      </c>
      <c r="J10" s="1621" t="s">
        <v>1379</v>
      </c>
      <c r="K10" s="1391" t="s">
        <v>1185</v>
      </c>
      <c r="L10" s="1391">
        <v>182.3</v>
      </c>
      <c r="M10" s="1391">
        <v>254</v>
      </c>
      <c r="N10" s="1391" t="s">
        <v>1380</v>
      </c>
      <c r="O10" s="1391" t="s">
        <v>1186</v>
      </c>
      <c r="P10" s="1621" t="s">
        <v>1381</v>
      </c>
      <c r="Q10" s="1621" t="s">
        <v>1382</v>
      </c>
      <c r="R10" s="1392" t="s">
        <v>1187</v>
      </c>
      <c r="S10" s="1431"/>
      <c r="T10" s="1377"/>
      <c r="U10" s="1377"/>
      <c r="V10" s="1377"/>
      <c r="W10" s="1377"/>
    </row>
    <row r="11" spans="1:23" ht="15">
      <c r="A11" s="1377"/>
      <c r="B11" s="1378"/>
      <c r="C11" s="1377"/>
      <c r="D11" s="1394"/>
      <c r="E11" s="1394"/>
      <c r="F11" s="1394"/>
      <c r="G11" s="1394"/>
      <c r="H11" s="1394"/>
      <c r="I11" s="1393"/>
      <c r="J11" s="1393"/>
      <c r="K11" s="1393"/>
      <c r="L11" s="1393"/>
      <c r="M11" s="1393"/>
      <c r="N11" s="1393"/>
      <c r="O11" s="1393"/>
      <c r="P11" s="1673" t="s">
        <v>1188</v>
      </c>
      <c r="Q11" s="1673"/>
      <c r="R11" s="1449">
        <v>0</v>
      </c>
      <c r="S11" s="1431"/>
      <c r="T11" s="1377"/>
      <c r="U11" s="1377"/>
      <c r="V11" s="1377"/>
      <c r="W11" s="1377"/>
    </row>
    <row r="12" spans="1:23" ht="15">
      <c r="A12" s="1377"/>
      <c r="B12" s="1395" t="s">
        <v>1189</v>
      </c>
      <c r="C12" s="1396"/>
      <c r="D12" s="1396"/>
      <c r="E12" s="1396"/>
      <c r="F12" s="1396"/>
      <c r="G12" s="1396"/>
      <c r="H12" s="1396"/>
      <c r="I12" s="1396"/>
      <c r="J12" s="1396"/>
      <c r="K12" s="1396"/>
      <c r="L12" s="1396"/>
      <c r="M12" s="1396"/>
      <c r="N12" s="1396"/>
      <c r="O12" s="1396"/>
      <c r="P12" s="1396"/>
      <c r="Q12" s="1396"/>
      <c r="R12" s="1381"/>
      <c r="S12" s="1377"/>
      <c r="T12" s="1381"/>
      <c r="U12" s="1381"/>
      <c r="V12" s="1381"/>
      <c r="W12" s="1381"/>
    </row>
    <row r="13" spans="1:23" ht="15">
      <c r="A13" s="1378" t="s">
        <v>1190</v>
      </c>
      <c r="B13" s="1434" t="s">
        <v>1191</v>
      </c>
      <c r="C13" s="1378" t="s">
        <v>1192</v>
      </c>
      <c r="D13" s="1398" t="s">
        <v>1193</v>
      </c>
      <c r="E13" s="1398" t="s">
        <v>1194</v>
      </c>
      <c r="F13" s="1399"/>
      <c r="G13" s="1398"/>
      <c r="H13" s="1398"/>
      <c r="I13" s="1440">
        <v>121101284</v>
      </c>
      <c r="J13" s="1441" t="s">
        <v>114</v>
      </c>
      <c r="K13" s="1440"/>
      <c r="L13" s="1440"/>
      <c r="M13" s="1440">
        <v>-9256788.158235278</v>
      </c>
      <c r="N13" s="1440"/>
      <c r="O13" s="1440"/>
      <c r="P13" s="1442">
        <f>SUM(I13:O13)</f>
        <v>111844495.84176472</v>
      </c>
      <c r="Q13" s="1441" t="s">
        <v>114</v>
      </c>
      <c r="R13" s="1404" t="s">
        <v>1267</v>
      </c>
      <c r="S13" s="1377"/>
      <c r="T13" s="1381"/>
      <c r="U13" s="1381"/>
      <c r="V13" s="1381"/>
      <c r="W13" s="1381"/>
    </row>
    <row r="14" spans="1:23" s="1376" customFormat="1" ht="15">
      <c r="A14" s="1398" t="s">
        <v>1195</v>
      </c>
      <c r="B14" s="1434" t="s">
        <v>1196</v>
      </c>
      <c r="C14" s="1439" t="s">
        <v>1197</v>
      </c>
      <c r="D14" s="1439" t="s">
        <v>1198</v>
      </c>
      <c r="E14" s="1398" t="s">
        <v>1194</v>
      </c>
      <c r="F14" s="1399"/>
      <c r="G14" s="1398"/>
      <c r="H14" s="1398"/>
      <c r="I14" s="1441" t="s">
        <v>114</v>
      </c>
      <c r="J14" s="1404">
        <v>0</v>
      </c>
      <c r="K14" s="1400"/>
      <c r="L14" s="1400"/>
      <c r="M14" s="1400"/>
      <c r="N14" s="1400"/>
      <c r="O14" s="1400"/>
      <c r="P14" s="1441" t="s">
        <v>114</v>
      </c>
      <c r="Q14" s="1442">
        <f>SUM(I14:O14)</f>
        <v>0</v>
      </c>
      <c r="R14" s="1404"/>
      <c r="S14" s="1377"/>
      <c r="T14" s="1444"/>
      <c r="U14" s="1444"/>
      <c r="V14" s="1444"/>
      <c r="W14" s="1444"/>
    </row>
    <row r="15" spans="1:23" s="1376" customFormat="1" ht="15">
      <c r="A15" s="1398" t="s">
        <v>1199</v>
      </c>
      <c r="B15" s="1434" t="s">
        <v>1200</v>
      </c>
      <c r="C15" s="1439" t="s">
        <v>1201</v>
      </c>
      <c r="D15" s="1439" t="s">
        <v>1198</v>
      </c>
      <c r="E15" s="1398" t="s">
        <v>1194</v>
      </c>
      <c r="F15" s="1399"/>
      <c r="G15" s="1398"/>
      <c r="H15" s="1398"/>
      <c r="I15" s="1404">
        <v>0</v>
      </c>
      <c r="J15" s="1413" t="s">
        <v>114</v>
      </c>
      <c r="K15" s="1400"/>
      <c r="L15" s="1400"/>
      <c r="M15" s="1400">
        <v>0</v>
      </c>
      <c r="N15" s="1400"/>
      <c r="O15" s="1400"/>
      <c r="P15" s="1442">
        <f>SUM(I15:O15)</f>
        <v>0</v>
      </c>
      <c r="Q15" s="1441" t="s">
        <v>114</v>
      </c>
      <c r="R15" s="1404"/>
      <c r="S15" s="1377"/>
      <c r="T15" s="1444"/>
      <c r="U15" s="1444"/>
      <c r="V15" s="1444"/>
      <c r="W15" s="1444"/>
    </row>
    <row r="16" spans="1:23" ht="15">
      <c r="A16" s="1378" t="s">
        <v>1202</v>
      </c>
      <c r="B16" s="1434" t="s">
        <v>1203</v>
      </c>
      <c r="C16" s="1378" t="s">
        <v>1204</v>
      </c>
      <c r="D16" s="1398" t="s">
        <v>1198</v>
      </c>
      <c r="E16" s="1398" t="s">
        <v>1194</v>
      </c>
      <c r="F16" s="1405">
        <v>-344594481</v>
      </c>
      <c r="G16" s="1406" t="s">
        <v>1205</v>
      </c>
      <c r="H16" s="1406" t="s">
        <v>1206</v>
      </c>
      <c r="I16" s="1413"/>
      <c r="J16" s="1443">
        <v>-262067232</v>
      </c>
      <c r="K16" s="1443"/>
      <c r="L16" s="1443"/>
      <c r="M16" s="1443"/>
      <c r="N16" s="1443">
        <v>7705889.8579000086</v>
      </c>
      <c r="O16" s="1443">
        <v>-145995.33480000001</v>
      </c>
      <c r="P16" s="1413"/>
      <c r="Q16" s="1442">
        <f>SUM(I16:O16)</f>
        <v>-254507337.47689998</v>
      </c>
      <c r="R16" s="1667" t="s">
        <v>1269</v>
      </c>
      <c r="S16" s="1377"/>
      <c r="T16" s="1381"/>
      <c r="U16" s="1381"/>
      <c r="V16" s="1381"/>
      <c r="W16" s="1381"/>
    </row>
    <row r="17" spans="1:23" ht="15">
      <c r="A17" s="1378" t="s">
        <v>1207</v>
      </c>
      <c r="B17" s="1434" t="s">
        <v>1203</v>
      </c>
      <c r="C17" s="1378" t="s">
        <v>1204</v>
      </c>
      <c r="D17" s="1398" t="s">
        <v>1208</v>
      </c>
      <c r="E17" s="1398" t="s">
        <v>1194</v>
      </c>
      <c r="F17" s="1408">
        <v>-150814921</v>
      </c>
      <c r="G17" s="1406" t="s">
        <v>1209</v>
      </c>
      <c r="H17" s="1406" t="s">
        <v>1210</v>
      </c>
      <c r="I17" s="1413"/>
      <c r="J17" s="1400">
        <v>-147145903</v>
      </c>
      <c r="K17" s="1400"/>
      <c r="L17" s="1400"/>
      <c r="M17" s="1400"/>
      <c r="N17" s="1400">
        <v>21709092.56903467</v>
      </c>
      <c r="O17" s="1400">
        <v>0</v>
      </c>
      <c r="P17" s="1413"/>
      <c r="Q17" s="1442">
        <f>SUM(I17:O17)</f>
        <v>-125436810.43096533</v>
      </c>
      <c r="R17" s="1667"/>
      <c r="S17" s="1377"/>
      <c r="T17" s="1381"/>
      <c r="U17" s="1381"/>
      <c r="V17" s="1381"/>
      <c r="W17" s="1381"/>
    </row>
    <row r="18" spans="1:23" ht="15">
      <c r="A18" s="1378" t="s">
        <v>1211</v>
      </c>
      <c r="B18" s="1434" t="s">
        <v>1212</v>
      </c>
      <c r="C18" s="1378" t="s">
        <v>1213</v>
      </c>
      <c r="D18" s="1398" t="s">
        <v>1198</v>
      </c>
      <c r="E18" s="1398" t="s">
        <v>1194</v>
      </c>
      <c r="F18" s="1408"/>
      <c r="G18" s="1406"/>
      <c r="H18" s="1406"/>
      <c r="I18" s="1400">
        <v>262067232</v>
      </c>
      <c r="J18" s="1413"/>
      <c r="K18" s="1400"/>
      <c r="L18" s="1400"/>
      <c r="M18" s="1443">
        <v>-7559894.5231000083</v>
      </c>
      <c r="N18" s="1400"/>
      <c r="O18" s="1400"/>
      <c r="P18" s="1442">
        <f>SUM(I18:O18)</f>
        <v>254507337.47689998</v>
      </c>
      <c r="Q18" s="1413"/>
      <c r="R18" s="1668" t="s">
        <v>1270</v>
      </c>
      <c r="S18" s="1377"/>
      <c r="T18" s="1381"/>
      <c r="U18" s="1381"/>
      <c r="V18" s="1381"/>
      <c r="W18" s="1381"/>
    </row>
    <row r="19" spans="1:23" ht="15">
      <c r="A19" s="1378" t="s">
        <v>1214</v>
      </c>
      <c r="B19" s="1434" t="s">
        <v>1212</v>
      </c>
      <c r="C19" s="1378" t="s">
        <v>1213</v>
      </c>
      <c r="D19" s="1398" t="s">
        <v>1208</v>
      </c>
      <c r="E19" s="1398" t="s">
        <v>1194</v>
      </c>
      <c r="F19" s="1408"/>
      <c r="G19" s="1406"/>
      <c r="H19" s="1406"/>
      <c r="I19" s="1400">
        <v>147145903</v>
      </c>
      <c r="J19" s="1413"/>
      <c r="K19" s="1400"/>
      <c r="L19" s="1400"/>
      <c r="M19" s="1400">
        <v>-21709092.56903467</v>
      </c>
      <c r="N19" s="1400"/>
      <c r="O19" s="1400"/>
      <c r="P19" s="1442">
        <f>SUM(I19:O19)</f>
        <v>125436810.43096533</v>
      </c>
      <c r="Q19" s="1413"/>
      <c r="R19" s="1668"/>
      <c r="S19" s="1377"/>
      <c r="T19" s="1381"/>
      <c r="U19" s="1381"/>
      <c r="V19" s="1381"/>
      <c r="W19" s="1381"/>
    </row>
    <row r="20" spans="1:23" ht="15">
      <c r="A20" s="1378" t="s">
        <v>1215</v>
      </c>
      <c r="B20" s="1434" t="s">
        <v>1216</v>
      </c>
      <c r="C20" s="1378" t="s">
        <v>1217</v>
      </c>
      <c r="D20" s="1398" t="s">
        <v>1208</v>
      </c>
      <c r="E20" s="1398" t="s">
        <v>1194</v>
      </c>
      <c r="F20" s="1408">
        <v>-31309465</v>
      </c>
      <c r="G20" s="1406" t="s">
        <v>1209</v>
      </c>
      <c r="H20" s="1406" t="s">
        <v>1210</v>
      </c>
      <c r="I20" s="1441" t="s">
        <v>114</v>
      </c>
      <c r="J20" s="1400">
        <v>-28178978</v>
      </c>
      <c r="K20" s="1400"/>
      <c r="L20" s="1400"/>
      <c r="M20" s="1400"/>
      <c r="N20" s="1400">
        <v>4164566.7533918074</v>
      </c>
      <c r="O20" s="1400">
        <v>0</v>
      </c>
      <c r="P20" s="1407" t="s">
        <v>114</v>
      </c>
      <c r="Q20" s="1442">
        <f>SUM(I20:O20)</f>
        <v>-24014411.246608194</v>
      </c>
      <c r="R20" s="1404" t="s">
        <v>1271</v>
      </c>
      <c r="S20" s="1377"/>
      <c r="T20" s="1381"/>
      <c r="U20" s="1381"/>
      <c r="V20" s="1381"/>
      <c r="W20" s="1381"/>
    </row>
    <row r="21" spans="1:23" ht="15">
      <c r="A21" s="1378" t="s">
        <v>1218</v>
      </c>
      <c r="B21" s="1435" t="s">
        <v>1219</v>
      </c>
      <c r="C21" s="1378" t="s">
        <v>1220</v>
      </c>
      <c r="D21" s="1398" t="s">
        <v>1208</v>
      </c>
      <c r="E21" s="1398" t="s">
        <v>1194</v>
      </c>
      <c r="F21" s="1405"/>
      <c r="G21" s="1406"/>
      <c r="H21" s="1406"/>
      <c r="I21" s="1400">
        <v>28178978</v>
      </c>
      <c r="J21" s="1401"/>
      <c r="K21" s="1400"/>
      <c r="L21" s="1400"/>
      <c r="M21" s="1400">
        <v>-4164566.7533918074</v>
      </c>
      <c r="N21" s="1400"/>
      <c r="O21" s="1400"/>
      <c r="P21" s="1442">
        <f>SUM(I21:O21)</f>
        <v>24014411.246608194</v>
      </c>
      <c r="Q21" s="1407"/>
      <c r="R21" s="1436" t="s">
        <v>1272</v>
      </c>
      <c r="S21" s="1377"/>
      <c r="T21" s="1381"/>
      <c r="U21" s="1381"/>
      <c r="V21" s="1381"/>
      <c r="W21" s="1381"/>
    </row>
    <row r="22" spans="1:23" ht="15">
      <c r="A22" s="1378" t="s">
        <v>1221</v>
      </c>
      <c r="B22" s="1386" t="s">
        <v>1383</v>
      </c>
      <c r="C22" s="1377"/>
      <c r="D22" s="1398"/>
      <c r="E22" s="1398"/>
      <c r="F22" s="1405"/>
      <c r="G22" s="1406"/>
      <c r="H22" s="1406"/>
      <c r="I22" s="1400"/>
      <c r="J22" s="1400"/>
      <c r="K22" s="1400"/>
      <c r="L22" s="1400"/>
      <c r="M22" s="1400"/>
      <c r="N22" s="1400"/>
      <c r="O22" s="1400"/>
      <c r="P22" s="1403"/>
      <c r="Q22" s="1402"/>
      <c r="R22" s="1436"/>
      <c r="S22" s="1377"/>
      <c r="T22" s="1381"/>
      <c r="U22" s="1381"/>
      <c r="V22" s="1381"/>
      <c r="W22" s="1381"/>
    </row>
    <row r="23" spans="1:23" ht="15">
      <c r="A23" s="1377"/>
      <c r="B23" s="1437"/>
      <c r="C23" s="1437"/>
      <c r="D23" s="1437"/>
      <c r="E23" s="1437"/>
      <c r="F23" s="1437"/>
      <c r="G23" s="1437"/>
      <c r="H23" s="1437"/>
      <c r="I23" s="1437"/>
      <c r="J23" s="1437"/>
      <c r="K23" s="1437"/>
      <c r="L23" s="1437"/>
      <c r="M23" s="1437"/>
      <c r="N23" s="1377"/>
      <c r="O23" s="1377"/>
      <c r="P23" s="1446"/>
      <c r="Q23" s="1377"/>
      <c r="R23" s="1377"/>
      <c r="S23" s="1377"/>
      <c r="T23" s="1381"/>
      <c r="U23" s="1381"/>
      <c r="V23" s="1381"/>
      <c r="W23" s="1381"/>
    </row>
    <row r="24" spans="1:23" s="1375" customFormat="1" ht="15">
      <c r="A24" s="1378"/>
      <c r="B24" s="1395" t="s">
        <v>1222</v>
      </c>
      <c r="C24" s="1381"/>
      <c r="D24" s="1381"/>
      <c r="E24" s="1381"/>
      <c r="F24" s="1381"/>
      <c r="G24" s="1381"/>
      <c r="H24" s="1381"/>
      <c r="I24" s="1381"/>
      <c r="J24" s="1381"/>
      <c r="K24" s="1381"/>
      <c r="L24" s="1381"/>
      <c r="M24" s="1381"/>
      <c r="N24" s="1381"/>
      <c r="O24" s="1381"/>
      <c r="P24" s="1381"/>
      <c r="Q24" s="1410"/>
      <c r="R24" s="1445"/>
      <c r="S24" s="1377"/>
      <c r="T24" s="1381"/>
      <c r="U24" s="1381"/>
      <c r="V24" s="1381"/>
      <c r="W24" s="1381"/>
    </row>
    <row r="25" spans="1:23" ht="11.45" customHeight="1">
      <c r="A25" s="1378" t="s">
        <v>1223</v>
      </c>
      <c r="B25" s="1397">
        <v>182.3</v>
      </c>
      <c r="C25" s="1412" t="s">
        <v>1224</v>
      </c>
      <c r="D25" s="1413" t="s">
        <v>114</v>
      </c>
      <c r="E25" s="1398" t="s">
        <v>1194</v>
      </c>
      <c r="F25" s="1413"/>
      <c r="G25" s="1413" t="s">
        <v>114</v>
      </c>
      <c r="H25" s="1413"/>
      <c r="I25" s="1414">
        <v>0</v>
      </c>
      <c r="J25" s="1413"/>
      <c r="K25" s="1400"/>
      <c r="L25" s="1400"/>
      <c r="M25" s="1400"/>
      <c r="N25" s="1413"/>
      <c r="O25" s="1413"/>
      <c r="P25" s="1559">
        <f>SUM(I25:O25)</f>
        <v>0</v>
      </c>
      <c r="Q25" s="1409"/>
      <c r="R25" s="1404" t="s">
        <v>1225</v>
      </c>
      <c r="S25" s="1377"/>
      <c r="T25" s="1381"/>
      <c r="U25" s="1381"/>
      <c r="V25" s="1381"/>
      <c r="W25" s="1381"/>
    </row>
    <row r="26" spans="1:23" ht="11.45" customHeight="1">
      <c r="A26" s="1378" t="s">
        <v>1226</v>
      </c>
      <c r="B26" s="1397">
        <v>254</v>
      </c>
      <c r="C26" s="1412" t="s">
        <v>1227</v>
      </c>
      <c r="D26" s="1413" t="s">
        <v>114</v>
      </c>
      <c r="E26" s="1398" t="s">
        <v>1194</v>
      </c>
      <c r="F26" s="1413"/>
      <c r="G26" s="1413" t="s">
        <v>114</v>
      </c>
      <c r="H26" s="1413"/>
      <c r="I26" s="1414">
        <v>-558493397</v>
      </c>
      <c r="J26" s="1413"/>
      <c r="K26" s="1400"/>
      <c r="L26" s="1400"/>
      <c r="M26" s="1400">
        <v>42690342.003761761</v>
      </c>
      <c r="N26" s="1413"/>
      <c r="O26" s="1413"/>
      <c r="P26" s="1560">
        <f>SUM(I26:O26)</f>
        <v>-515803054.99623823</v>
      </c>
      <c r="Q26" s="1409"/>
      <c r="R26" s="1404" t="s">
        <v>1225</v>
      </c>
      <c r="S26" s="1377"/>
      <c r="T26" s="1381"/>
      <c r="U26" s="1381"/>
      <c r="V26" s="1381"/>
      <c r="W26" s="1381"/>
    </row>
    <row r="27" spans="1:23" ht="11.45" customHeight="1">
      <c r="A27" s="1378" t="s">
        <v>1228</v>
      </c>
      <c r="B27" s="1386" t="s">
        <v>1383</v>
      </c>
      <c r="C27" s="1412"/>
      <c r="D27" s="1413"/>
      <c r="E27" s="1398"/>
      <c r="F27" s="1413"/>
      <c r="G27" s="1413"/>
      <c r="H27" s="1413"/>
      <c r="I27" s="1400"/>
      <c r="J27" s="1413"/>
      <c r="K27" s="1400"/>
      <c r="L27" s="1400"/>
      <c r="M27" s="1400"/>
      <c r="N27" s="1413"/>
      <c r="O27" s="1413"/>
      <c r="P27" s="1558"/>
      <c r="Q27" s="1409"/>
      <c r="R27" s="1404"/>
      <c r="S27" s="1377"/>
      <c r="T27" s="1381"/>
      <c r="U27" s="1381"/>
      <c r="V27" s="1381"/>
      <c r="W27" s="1381"/>
    </row>
    <row r="28" spans="1:23" ht="15">
      <c r="A28" s="1377"/>
      <c r="B28" s="1397"/>
      <c r="C28" s="1412"/>
      <c r="D28" s="1385"/>
      <c r="E28" s="1385"/>
      <c r="F28" s="1385"/>
      <c r="G28" s="1385"/>
      <c r="H28" s="1385"/>
      <c r="I28" s="1385"/>
      <c r="J28" s="1385"/>
      <c r="K28" s="1385"/>
      <c r="L28" s="1385"/>
      <c r="M28" s="1385"/>
      <c r="N28" s="1385"/>
      <c r="O28" s="1385"/>
      <c r="P28" s="1385"/>
      <c r="Q28" s="1385"/>
      <c r="R28" s="1415"/>
      <c r="S28" s="1410"/>
      <c r="T28" s="1381"/>
      <c r="U28" s="1381"/>
      <c r="V28" s="1381"/>
      <c r="W28" s="1381"/>
    </row>
    <row r="29" spans="1:23" ht="12.75" customHeight="1" thickBot="1">
      <c r="A29" s="1430">
        <v>3</v>
      </c>
      <c r="B29" s="1670" t="s">
        <v>1246</v>
      </c>
      <c r="C29" s="1670"/>
      <c r="D29" s="1413"/>
      <c r="E29" s="1413"/>
      <c r="F29" s="1413"/>
      <c r="G29" s="1413"/>
      <c r="H29" s="1413"/>
      <c r="I29" s="1416">
        <f>SUM(I13:I28)</f>
        <v>0</v>
      </c>
      <c r="J29" s="1417">
        <f t="shared" ref="J29:Q29" si="0">SUM(J13:J28)</f>
        <v>-437392113</v>
      </c>
      <c r="K29" s="1418">
        <f t="shared" si="0"/>
        <v>0</v>
      </c>
      <c r="L29" s="1418">
        <f t="shared" si="0"/>
        <v>0</v>
      </c>
      <c r="M29" s="1417">
        <f t="shared" si="0"/>
        <v>0</v>
      </c>
      <c r="N29" s="1448">
        <f>-SUM(N13:N28)</f>
        <v>-33579549.180326484</v>
      </c>
      <c r="O29" s="1417">
        <f>-SUM(O13:O28)</f>
        <v>145995.33480000001</v>
      </c>
      <c r="P29" s="1418">
        <f t="shared" si="0"/>
        <v>0</v>
      </c>
      <c r="Q29" s="1417">
        <f t="shared" si="0"/>
        <v>-403958559.15447348</v>
      </c>
      <c r="R29" s="1419"/>
      <c r="S29" s="1410"/>
      <c r="T29" s="1381"/>
      <c r="U29" s="1381"/>
      <c r="V29" s="1381"/>
      <c r="W29" s="1381"/>
    </row>
    <row r="30" spans="1:23" ht="15.75" thickTop="1">
      <c r="A30" s="1377"/>
      <c r="B30" s="1397"/>
      <c r="C30" s="1412"/>
      <c r="D30" s="1385"/>
      <c r="E30" s="1385"/>
      <c r="F30" s="1385"/>
      <c r="G30" s="1385"/>
      <c r="H30" s="1385"/>
      <c r="I30" s="1420"/>
      <c r="J30" s="1408"/>
      <c r="K30" s="1421"/>
      <c r="L30" s="1421"/>
      <c r="M30" s="1421"/>
      <c r="N30" s="1422" t="s">
        <v>1245</v>
      </c>
      <c r="O30" s="1422"/>
      <c r="P30" s="1421"/>
      <c r="Q30" s="1423"/>
      <c r="R30" s="1419"/>
      <c r="S30" s="1410"/>
      <c r="T30" s="1381"/>
      <c r="U30" s="1381"/>
      <c r="V30" s="1381"/>
      <c r="W30" s="1381"/>
    </row>
    <row r="31" spans="1:23">
      <c r="A31" s="1386" t="s">
        <v>1229</v>
      </c>
      <c r="B31" s="1397"/>
      <c r="C31" s="1412"/>
      <c r="D31" s="1385"/>
      <c r="E31" s="1385"/>
      <c r="F31" s="1385"/>
      <c r="G31" s="1385"/>
      <c r="H31" s="1385"/>
      <c r="I31" s="1420"/>
      <c r="J31" s="1408"/>
      <c r="K31" s="1421"/>
      <c r="L31" s="1421"/>
      <c r="M31" s="1421"/>
      <c r="N31" s="1408"/>
      <c r="O31" s="1408"/>
      <c r="P31" s="1421"/>
      <c r="Q31" s="1423"/>
      <c r="R31" s="1419"/>
      <c r="S31" s="1410"/>
      <c r="T31" s="1381"/>
      <c r="U31" s="1381"/>
      <c r="V31" s="1381"/>
      <c r="W31" s="1381"/>
    </row>
    <row r="32" spans="1:23" ht="15">
      <c r="A32" s="1377"/>
      <c r="B32" s="1378"/>
      <c r="C32" s="1377"/>
      <c r="D32" s="1394"/>
      <c r="E32" s="1394"/>
      <c r="F32" s="1394"/>
      <c r="G32" s="1394"/>
      <c r="H32" s="1394"/>
      <c r="I32" s="1393"/>
      <c r="J32" s="1393"/>
      <c r="K32" s="1393"/>
      <c r="L32" s="1393"/>
      <c r="M32" s="1393"/>
      <c r="N32" s="1393"/>
      <c r="O32" s="1393"/>
      <c r="P32" s="1673" t="s">
        <v>1188</v>
      </c>
      <c r="Q32" s="1673"/>
      <c r="R32" s="1392"/>
      <c r="S32" s="1410"/>
      <c r="T32" s="1381"/>
      <c r="U32" s="1381"/>
      <c r="V32" s="1381"/>
      <c r="W32" s="1381"/>
    </row>
    <row r="33" spans="1:23" ht="15">
      <c r="A33" s="1377"/>
      <c r="B33" s="1395" t="s">
        <v>1189</v>
      </c>
      <c r="C33" s="1396"/>
      <c r="D33" s="1396"/>
      <c r="E33" s="1396"/>
      <c r="F33" s="1396"/>
      <c r="G33" s="1396"/>
      <c r="H33" s="1396"/>
      <c r="I33" s="1396"/>
      <c r="J33" s="1396"/>
      <c r="K33" s="1396"/>
      <c r="L33" s="1396"/>
      <c r="M33" s="1396"/>
      <c r="N33" s="1396"/>
      <c r="O33" s="1396"/>
      <c r="P33" s="1396"/>
      <c r="Q33" s="1396"/>
      <c r="R33" s="1381"/>
      <c r="S33" s="1410"/>
      <c r="T33" s="1381"/>
      <c r="U33" s="1381"/>
      <c r="V33" s="1381"/>
      <c r="W33" s="1381"/>
    </row>
    <row r="34" spans="1:23">
      <c r="A34" s="1378" t="s">
        <v>1230</v>
      </c>
      <c r="B34" s="1434" t="s">
        <v>1191</v>
      </c>
      <c r="C34" s="1378" t="s">
        <v>1192</v>
      </c>
      <c r="D34" s="1398" t="s">
        <v>1193</v>
      </c>
      <c r="E34" s="1398" t="s">
        <v>1194</v>
      </c>
      <c r="F34" s="1399"/>
      <c r="G34" s="1398"/>
      <c r="H34" s="1398"/>
      <c r="I34" s="1400">
        <v>39529445</v>
      </c>
      <c r="J34" s="1401"/>
      <c r="K34" s="1400"/>
      <c r="L34" s="1400"/>
      <c r="M34" s="1400">
        <v>-2274653.5259236349</v>
      </c>
      <c r="N34" s="1400"/>
      <c r="O34" s="1400"/>
      <c r="P34" s="1442">
        <f>SUM(I34:O34)</f>
        <v>37254791.474076368</v>
      </c>
      <c r="Q34" s="1413"/>
      <c r="R34" s="1404" t="s">
        <v>632</v>
      </c>
      <c r="S34" s="1410"/>
      <c r="T34" s="1381"/>
      <c r="U34" s="1381"/>
      <c r="V34" s="1381"/>
      <c r="W34" s="1381"/>
    </row>
    <row r="35" spans="1:23">
      <c r="A35" s="1378" t="s">
        <v>1231</v>
      </c>
      <c r="B35" s="1434" t="s">
        <v>1203</v>
      </c>
      <c r="C35" s="1378" t="s">
        <v>1204</v>
      </c>
      <c r="D35" s="1398" t="s">
        <v>1198</v>
      </c>
      <c r="E35" s="1398" t="s">
        <v>1194</v>
      </c>
      <c r="F35" s="1405">
        <v>-123296457</v>
      </c>
      <c r="G35" s="1406" t="s">
        <v>1205</v>
      </c>
      <c r="H35" s="1406" t="s">
        <v>1206</v>
      </c>
      <c r="I35" s="1413"/>
      <c r="J35" s="1400">
        <v>-101622368</v>
      </c>
      <c r="K35" s="1400"/>
      <c r="L35" s="1400"/>
      <c r="M35" s="1400"/>
      <c r="N35" s="1400">
        <v>2296648.0517999977</v>
      </c>
      <c r="O35" s="1400">
        <v>-109528.23980000001</v>
      </c>
      <c r="P35" s="1413"/>
      <c r="Q35" s="1442">
        <f>SUM(I35:O35)</f>
        <v>-99435248.188000008</v>
      </c>
      <c r="R35" s="1667" t="s">
        <v>1273</v>
      </c>
      <c r="S35" s="1410"/>
      <c r="T35" s="1381"/>
      <c r="U35" s="1381"/>
      <c r="V35" s="1381"/>
      <c r="W35" s="1381"/>
    </row>
    <row r="36" spans="1:23">
      <c r="A36" s="1378" t="s">
        <v>1232</v>
      </c>
      <c r="B36" s="1434" t="s">
        <v>1203</v>
      </c>
      <c r="C36" s="1378" t="s">
        <v>1204</v>
      </c>
      <c r="D36" s="1398" t="s">
        <v>1208</v>
      </c>
      <c r="E36" s="1398" t="s">
        <v>1194</v>
      </c>
      <c r="F36" s="1408">
        <v>-36241536</v>
      </c>
      <c r="G36" s="1406" t="s">
        <v>1209</v>
      </c>
      <c r="H36" s="1406" t="s">
        <v>1210</v>
      </c>
      <c r="I36" s="1413"/>
      <c r="J36" s="1400">
        <v>-38836531</v>
      </c>
      <c r="K36" s="1400"/>
      <c r="L36" s="1400"/>
      <c r="M36" s="1400"/>
      <c r="N36" s="1400">
        <v>5689581.0818454204</v>
      </c>
      <c r="O36" s="1400">
        <v>0</v>
      </c>
      <c r="P36" s="1413"/>
      <c r="Q36" s="1442">
        <f>SUM(I36:O36)</f>
        <v>-33146949.918154579</v>
      </c>
      <c r="R36" s="1667"/>
      <c r="S36" s="1410"/>
      <c r="T36" s="1381"/>
      <c r="U36" s="1381"/>
      <c r="V36" s="1381"/>
      <c r="W36" s="1381"/>
    </row>
    <row r="37" spans="1:23">
      <c r="A37" s="1378" t="s">
        <v>1233</v>
      </c>
      <c r="B37" s="1434" t="s">
        <v>1212</v>
      </c>
      <c r="C37" s="1378" t="s">
        <v>1213</v>
      </c>
      <c r="D37" s="1398" t="s">
        <v>1198</v>
      </c>
      <c r="E37" s="1398" t="s">
        <v>1194</v>
      </c>
      <c r="F37" s="1408"/>
      <c r="G37" s="1406"/>
      <c r="H37" s="1406"/>
      <c r="I37" s="1400">
        <v>101622368</v>
      </c>
      <c r="J37" s="1413"/>
      <c r="K37" s="1400"/>
      <c r="L37" s="1400"/>
      <c r="M37" s="1400">
        <v>-2187119.8119999976</v>
      </c>
      <c r="N37" s="1400"/>
      <c r="O37" s="1400"/>
      <c r="P37" s="1442">
        <f>SUM(I37:O37)</f>
        <v>99435248.188000008</v>
      </c>
      <c r="Q37" s="1413"/>
      <c r="R37" s="1668" t="s">
        <v>632</v>
      </c>
      <c r="S37" s="1410"/>
      <c r="T37" s="1381"/>
      <c r="U37" s="1381"/>
      <c r="V37" s="1381"/>
      <c r="W37" s="1381"/>
    </row>
    <row r="38" spans="1:23">
      <c r="A38" s="1378" t="s">
        <v>1234</v>
      </c>
      <c r="B38" s="1434" t="s">
        <v>1212</v>
      </c>
      <c r="C38" s="1378" t="s">
        <v>1213</v>
      </c>
      <c r="D38" s="1398" t="s">
        <v>1208</v>
      </c>
      <c r="E38" s="1398" t="s">
        <v>1194</v>
      </c>
      <c r="F38" s="1408"/>
      <c r="G38" s="1406"/>
      <c r="H38" s="1406"/>
      <c r="I38" s="1400">
        <v>38836531</v>
      </c>
      <c r="J38" s="1413"/>
      <c r="K38" s="1400"/>
      <c r="L38" s="1400"/>
      <c r="M38" s="1400">
        <v>-5689581.0818454204</v>
      </c>
      <c r="N38" s="1400"/>
      <c r="O38" s="1400"/>
      <c r="P38" s="1442">
        <f>SUM(I38:O38)</f>
        <v>33146949.918154579</v>
      </c>
      <c r="Q38" s="1413"/>
      <c r="R38" s="1668"/>
      <c r="S38" s="1410"/>
      <c r="T38" s="1381"/>
      <c r="U38" s="1381"/>
      <c r="V38" s="1381"/>
      <c r="W38" s="1381"/>
    </row>
    <row r="39" spans="1:23">
      <c r="A39" s="1378" t="s">
        <v>1235</v>
      </c>
      <c r="B39" s="1434" t="s">
        <v>1216</v>
      </c>
      <c r="C39" s="1378" t="s">
        <v>1217</v>
      </c>
      <c r="D39" s="1398" t="s">
        <v>1208</v>
      </c>
      <c r="E39" s="1398" t="s">
        <v>1194</v>
      </c>
      <c r="F39" s="1408">
        <v>-5504494</v>
      </c>
      <c r="G39" s="1406" t="s">
        <v>1209</v>
      </c>
      <c r="H39" s="1406" t="s">
        <v>1210</v>
      </c>
      <c r="I39" s="1401" t="s">
        <v>114</v>
      </c>
      <c r="J39" s="1400">
        <v>-2313060</v>
      </c>
      <c r="K39" s="1400"/>
      <c r="L39" s="1400"/>
      <c r="M39" s="1400"/>
      <c r="N39" s="1400">
        <v>338864.7903737998</v>
      </c>
      <c r="O39" s="1400">
        <v>0</v>
      </c>
      <c r="P39" s="1407" t="s">
        <v>114</v>
      </c>
      <c r="Q39" s="1442">
        <f>SUM(I39:O39)</f>
        <v>-1974195.2096262001</v>
      </c>
      <c r="R39" s="1404" t="s">
        <v>1274</v>
      </c>
      <c r="S39" s="1410"/>
      <c r="T39" s="1381"/>
      <c r="U39" s="1381"/>
      <c r="V39" s="1381"/>
      <c r="W39" s="1381"/>
    </row>
    <row r="40" spans="1:23">
      <c r="A40" s="1378" t="s">
        <v>1236</v>
      </c>
      <c r="B40" s="1435" t="s">
        <v>1219</v>
      </c>
      <c r="C40" s="1378" t="s">
        <v>1220</v>
      </c>
      <c r="D40" s="1398" t="s">
        <v>1208</v>
      </c>
      <c r="E40" s="1398" t="s">
        <v>1194</v>
      </c>
      <c r="F40" s="1405"/>
      <c r="G40" s="1406"/>
      <c r="H40" s="1406"/>
      <c r="I40" s="1400">
        <v>2313059</v>
      </c>
      <c r="J40" s="1401"/>
      <c r="K40" s="1400"/>
      <c r="L40" s="1400"/>
      <c r="M40" s="1400">
        <v>-338864.7903737998</v>
      </c>
      <c r="N40" s="1400"/>
      <c r="O40" s="1400"/>
      <c r="P40" s="1442">
        <f>SUM(I40:O40)</f>
        <v>1974194.2096262001</v>
      </c>
      <c r="Q40" s="1407"/>
      <c r="R40" s="1436" t="s">
        <v>632</v>
      </c>
      <c r="S40" s="1410"/>
      <c r="T40" s="1381"/>
      <c r="U40" s="1381"/>
      <c r="V40" s="1381"/>
      <c r="W40" s="1381"/>
    </row>
    <row r="41" spans="1:23" ht="15">
      <c r="A41" s="1378" t="s">
        <v>1237</v>
      </c>
      <c r="B41" s="1386" t="s">
        <v>1383</v>
      </c>
      <c r="C41" s="1377"/>
      <c r="D41" s="1398"/>
      <c r="E41" s="1398"/>
      <c r="F41" s="1405"/>
      <c r="G41" s="1406"/>
      <c r="H41" s="1406"/>
      <c r="I41" s="1400"/>
      <c r="J41" s="1400"/>
      <c r="K41" s="1400"/>
      <c r="L41" s="1400"/>
      <c r="M41" s="1400"/>
      <c r="N41" s="1400"/>
      <c r="O41" s="1400"/>
      <c r="P41" s="1403"/>
      <c r="Q41" s="1402"/>
      <c r="R41" s="1436"/>
      <c r="S41" s="1381"/>
      <c r="T41" s="1381"/>
      <c r="U41" s="1381"/>
      <c r="V41" s="1381"/>
      <c r="W41" s="1381"/>
    </row>
    <row r="42" spans="1:23" ht="15">
      <c r="A42" s="1377"/>
      <c r="B42" s="1437"/>
      <c r="C42" s="1437"/>
      <c r="D42" s="1437"/>
      <c r="E42" s="1437"/>
      <c r="F42" s="1437"/>
      <c r="G42" s="1437"/>
      <c r="H42" s="1437"/>
      <c r="I42" s="1437"/>
      <c r="J42" s="1437"/>
      <c r="K42" s="1437"/>
      <c r="L42" s="1437"/>
      <c r="M42" s="1437"/>
      <c r="N42" s="1377"/>
      <c r="O42" s="1377"/>
      <c r="P42" s="1377"/>
      <c r="Q42" s="1377"/>
      <c r="R42" s="1377"/>
      <c r="S42" s="1381"/>
      <c r="T42" s="1381"/>
      <c r="U42" s="1381"/>
      <c r="V42" s="1381"/>
      <c r="W42" s="1381"/>
    </row>
    <row r="43" spans="1:23" ht="15">
      <c r="A43" s="1377"/>
      <c r="B43" s="1395" t="s">
        <v>1222</v>
      </c>
      <c r="C43" s="1381"/>
      <c r="D43" s="1381"/>
      <c r="E43" s="1381"/>
      <c r="F43" s="1381"/>
      <c r="G43" s="1381"/>
      <c r="H43" s="1381"/>
      <c r="I43" s="1381"/>
      <c r="J43" s="1381"/>
      <c r="K43" s="1381"/>
      <c r="L43" s="1381"/>
      <c r="M43" s="1381"/>
      <c r="N43" s="1381"/>
      <c r="O43" s="1381"/>
      <c r="P43" s="1381"/>
      <c r="Q43" s="1410"/>
      <c r="R43" s="1411"/>
      <c r="S43" s="1381"/>
      <c r="T43" s="1381"/>
      <c r="U43" s="1381"/>
      <c r="V43" s="1381"/>
      <c r="W43" s="1381"/>
    </row>
    <row r="44" spans="1:23">
      <c r="A44" s="1378" t="s">
        <v>617</v>
      </c>
      <c r="B44" s="1397">
        <v>182.3</v>
      </c>
      <c r="C44" s="1412" t="s">
        <v>1224</v>
      </c>
      <c r="D44" s="1413" t="s">
        <v>114</v>
      </c>
      <c r="E44" s="1398" t="s">
        <v>1194</v>
      </c>
      <c r="F44" s="1413"/>
      <c r="G44" s="1413" t="s">
        <v>114</v>
      </c>
      <c r="H44" s="1413"/>
      <c r="I44" s="1414">
        <v>0</v>
      </c>
      <c r="J44" s="1413"/>
      <c r="K44" s="1400"/>
      <c r="L44" s="1400"/>
      <c r="M44" s="1400"/>
      <c r="N44" s="1413"/>
      <c r="O44" s="1413"/>
      <c r="P44" s="1559">
        <f>SUM(I44:O44)</f>
        <v>0</v>
      </c>
      <c r="Q44" s="1409"/>
      <c r="R44" s="1404" t="s">
        <v>1225</v>
      </c>
      <c r="S44" s="1381"/>
      <c r="T44" s="1381"/>
      <c r="U44" s="1381"/>
      <c r="V44" s="1381"/>
      <c r="W44" s="1381"/>
    </row>
    <row r="45" spans="1:23">
      <c r="A45" s="1378" t="s">
        <v>618</v>
      </c>
      <c r="B45" s="1397">
        <v>254</v>
      </c>
      <c r="C45" s="1412" t="s">
        <v>1227</v>
      </c>
      <c r="D45" s="1413" t="s">
        <v>114</v>
      </c>
      <c r="E45" s="1398" t="s">
        <v>1194</v>
      </c>
      <c r="F45" s="1413"/>
      <c r="G45" s="1413" t="s">
        <v>114</v>
      </c>
      <c r="H45" s="1413"/>
      <c r="I45" s="1414">
        <v>-182301403</v>
      </c>
      <c r="J45" s="1413"/>
      <c r="K45" s="1400"/>
      <c r="L45" s="1400"/>
      <c r="M45" s="1400">
        <v>10490219.210142853</v>
      </c>
      <c r="N45" s="1413"/>
      <c r="O45" s="1413"/>
      <c r="P45" s="1559">
        <f>SUM(I45:O45)</f>
        <v>-171811183.78985715</v>
      </c>
      <c r="Q45" s="1409"/>
      <c r="R45" s="1404" t="s">
        <v>1225</v>
      </c>
      <c r="S45" s="1381"/>
      <c r="T45" s="1381"/>
      <c r="U45" s="1381"/>
      <c r="V45" s="1381"/>
      <c r="W45" s="1381"/>
    </row>
    <row r="46" spans="1:23">
      <c r="A46" s="1378" t="s">
        <v>1238</v>
      </c>
      <c r="B46" s="1386" t="s">
        <v>1383</v>
      </c>
      <c r="C46" s="1412"/>
      <c r="D46" s="1413"/>
      <c r="E46" s="1398"/>
      <c r="F46" s="1413"/>
      <c r="G46" s="1413"/>
      <c r="H46" s="1413"/>
      <c r="I46" s="1400"/>
      <c r="J46" s="1413"/>
      <c r="K46" s="1400"/>
      <c r="L46" s="1400"/>
      <c r="M46" s="1400"/>
      <c r="N46" s="1413"/>
      <c r="O46" s="1413"/>
      <c r="P46" s="1558"/>
      <c r="Q46" s="1409"/>
      <c r="R46" s="1404"/>
      <c r="S46" s="1381"/>
      <c r="T46" s="1381"/>
      <c r="U46" s="1381"/>
      <c r="V46" s="1381"/>
      <c r="W46" s="1381"/>
    </row>
    <row r="47" spans="1:23" ht="15">
      <c r="A47" s="1377"/>
      <c r="B47" s="1397"/>
      <c r="C47" s="1412"/>
      <c r="D47" s="1385"/>
      <c r="E47" s="1385"/>
      <c r="F47" s="1385"/>
      <c r="G47" s="1385"/>
      <c r="H47" s="1385"/>
      <c r="I47" s="1385"/>
      <c r="J47" s="1385"/>
      <c r="K47" s="1385"/>
      <c r="L47" s="1385"/>
      <c r="M47" s="1385"/>
      <c r="N47" s="1447"/>
      <c r="O47" s="1385"/>
      <c r="P47" s="1385"/>
      <c r="Q47" s="1385"/>
      <c r="R47" s="1415"/>
      <c r="S47" s="1381"/>
      <c r="T47" s="1381"/>
      <c r="U47" s="1381"/>
      <c r="V47" s="1381"/>
      <c r="W47" s="1381"/>
    </row>
    <row r="48" spans="1:23" ht="12.75" customHeight="1" thickBot="1">
      <c r="A48" s="1430">
        <v>6</v>
      </c>
      <c r="B48" s="1670" t="s">
        <v>1247</v>
      </c>
      <c r="C48" s="1670"/>
      <c r="D48" s="1413"/>
      <c r="E48" s="1413"/>
      <c r="F48" s="1413"/>
      <c r="G48" s="1413"/>
      <c r="H48" s="1413"/>
      <c r="I48" s="1416">
        <f>SUM(I34:I46)</f>
        <v>0</v>
      </c>
      <c r="J48" s="1417">
        <f t="shared" ref="J48:Q48" si="1">SUM(J34:J46)</f>
        <v>-142771959</v>
      </c>
      <c r="K48" s="1418">
        <f t="shared" si="1"/>
        <v>0</v>
      </c>
      <c r="L48" s="1418">
        <f t="shared" si="1"/>
        <v>0</v>
      </c>
      <c r="M48" s="1417">
        <f t="shared" si="1"/>
        <v>0</v>
      </c>
      <c r="N48" s="1448">
        <f>-SUM(N34:N46)</f>
        <v>-8325093.9240192175</v>
      </c>
      <c r="O48" s="1417">
        <f>-SUM(O34:O46)</f>
        <v>109528.23980000001</v>
      </c>
      <c r="P48" s="1418">
        <f t="shared" si="1"/>
        <v>0</v>
      </c>
      <c r="Q48" s="1417">
        <f t="shared" si="1"/>
        <v>-134556393.31578079</v>
      </c>
      <c r="R48" s="1419"/>
      <c r="S48" s="1381"/>
      <c r="T48" s="1381"/>
      <c r="U48" s="1381"/>
      <c r="V48" s="1381"/>
      <c r="W48" s="1381"/>
    </row>
    <row r="49" spans="1:23" ht="15.75" thickTop="1">
      <c r="A49" s="1377"/>
      <c r="B49" s="1397"/>
      <c r="C49" s="1412"/>
      <c r="D49" s="1385"/>
      <c r="E49" s="1385"/>
      <c r="F49" s="1385"/>
      <c r="G49" s="1385"/>
      <c r="H49" s="1385"/>
      <c r="I49" s="1420"/>
      <c r="J49" s="1408"/>
      <c r="K49" s="1421"/>
      <c r="L49" s="1421"/>
      <c r="M49" s="1421"/>
      <c r="N49" s="1422" t="s">
        <v>1245</v>
      </c>
      <c r="O49" s="1408"/>
      <c r="P49" s="1421"/>
      <c r="Q49" s="1423"/>
      <c r="R49" s="1419"/>
      <c r="S49" s="1381"/>
      <c r="T49" s="1381"/>
      <c r="U49" s="1381"/>
      <c r="V49" s="1381"/>
      <c r="W49" s="1381"/>
    </row>
    <row r="50" spans="1:23" ht="15">
      <c r="A50" s="1377"/>
      <c r="B50" s="1397"/>
      <c r="C50" s="1412"/>
      <c r="D50" s="1385"/>
      <c r="E50" s="1385"/>
      <c r="F50" s="1385"/>
      <c r="G50" s="1385"/>
      <c r="H50" s="1385"/>
      <c r="I50" s="1420"/>
      <c r="J50" s="1408"/>
      <c r="K50" s="1421"/>
      <c r="L50" s="1421"/>
      <c r="M50" s="1421"/>
      <c r="N50" s="1408"/>
      <c r="O50" s="1408"/>
      <c r="P50" s="1421"/>
      <c r="Q50" s="1423"/>
      <c r="R50" s="1419"/>
      <c r="S50" s="1381"/>
      <c r="T50" s="1381"/>
      <c r="U50" s="1381"/>
      <c r="V50" s="1381"/>
      <c r="W50" s="1381"/>
    </row>
    <row r="51" spans="1:23" ht="18.600000000000001" customHeight="1">
      <c r="A51" s="1669" t="s">
        <v>1248</v>
      </c>
      <c r="B51" s="1669"/>
      <c r="C51" s="1669"/>
      <c r="D51" s="1669"/>
      <c r="E51" s="1669"/>
      <c r="F51" s="1669"/>
      <c r="G51" s="1669"/>
      <c r="H51" s="1669"/>
      <c r="I51" s="1669"/>
      <c r="J51" s="1669"/>
      <c r="K51" s="1421"/>
      <c r="L51" s="1421"/>
      <c r="M51" s="1421"/>
      <c r="N51" s="1408"/>
      <c r="O51" s="1408"/>
      <c r="P51" s="1421"/>
      <c r="Q51" s="1423"/>
      <c r="R51" s="1419"/>
      <c r="S51" s="1381"/>
      <c r="T51" s="1381"/>
      <c r="U51" s="1381"/>
      <c r="V51" s="1381"/>
      <c r="W51" s="1381"/>
    </row>
    <row r="52" spans="1:23" ht="23.1" customHeight="1">
      <c r="A52" s="1669"/>
      <c r="B52" s="1669"/>
      <c r="C52" s="1669"/>
      <c r="D52" s="1669"/>
      <c r="E52" s="1669"/>
      <c r="F52" s="1669"/>
      <c r="G52" s="1669"/>
      <c r="H52" s="1669"/>
      <c r="I52" s="1669"/>
      <c r="J52" s="1669"/>
      <c r="K52" s="1421"/>
      <c r="L52" s="1421"/>
      <c r="M52" s="1421"/>
      <c r="N52" s="1408"/>
      <c r="O52" s="1408"/>
      <c r="P52" s="1421"/>
      <c r="Q52" s="1423"/>
      <c r="R52" s="1419"/>
      <c r="S52" s="1381"/>
      <c r="T52" s="1381"/>
      <c r="U52" s="1381"/>
      <c r="V52" s="1381"/>
      <c r="W52" s="1381"/>
    </row>
    <row r="53" spans="1:23" ht="15" customHeight="1">
      <c r="A53" s="1377"/>
      <c r="B53" s="1397"/>
      <c r="C53" s="1412"/>
      <c r="D53" s="1385"/>
      <c r="E53" s="1385"/>
      <c r="F53" s="1385"/>
      <c r="G53" s="1385"/>
      <c r="H53" s="1385"/>
      <c r="I53" s="1420"/>
      <c r="J53" s="1408"/>
      <c r="K53" s="1421"/>
      <c r="L53" s="1421"/>
      <c r="M53" s="1421"/>
      <c r="N53" s="1408"/>
      <c r="O53" s="1408"/>
      <c r="P53" s="1421"/>
      <c r="Q53" s="1423"/>
      <c r="R53" s="1419"/>
      <c r="S53" s="1381"/>
      <c r="T53" s="1381"/>
      <c r="U53" s="1381"/>
      <c r="V53" s="1381"/>
      <c r="W53" s="1381"/>
    </row>
    <row r="54" spans="1:23" ht="15">
      <c r="A54" s="1377"/>
      <c r="B54" s="1378"/>
      <c r="C54" s="1412"/>
      <c r="D54" s="1385"/>
      <c r="E54" s="1385"/>
      <c r="F54" s="1385"/>
      <c r="G54" s="1385"/>
      <c r="H54" s="1385"/>
      <c r="I54" s="1420"/>
      <c r="J54" s="1423"/>
      <c r="K54" s="1421"/>
      <c r="L54" s="1421"/>
      <c r="M54" s="1421"/>
      <c r="N54" s="1423"/>
      <c r="O54" s="1423"/>
      <c r="P54" s="1421"/>
      <c r="Q54" s="1423"/>
      <c r="R54" s="1419"/>
      <c r="S54" s="1381"/>
      <c r="T54" s="1381"/>
      <c r="U54" s="1381"/>
      <c r="V54" s="1381"/>
      <c r="W54" s="1381"/>
    </row>
    <row r="55" spans="1:23">
      <c r="A55" s="1424" t="s">
        <v>1239</v>
      </c>
      <c r="B55" s="1675" t="s">
        <v>1384</v>
      </c>
      <c r="C55" s="1675"/>
      <c r="D55" s="1675"/>
      <c r="E55" s="1675"/>
      <c r="F55" s="1675"/>
      <c r="G55" s="1675"/>
      <c r="H55" s="1675"/>
      <c r="I55" s="1675"/>
      <c r="J55" s="1675"/>
      <c r="K55" s="1424"/>
    </row>
    <row r="56" spans="1:23">
      <c r="A56" s="1378"/>
      <c r="B56" s="1675"/>
      <c r="C56" s="1675"/>
      <c r="D56" s="1675"/>
      <c r="E56" s="1675"/>
      <c r="F56" s="1675"/>
      <c r="G56" s="1675"/>
      <c r="H56" s="1675"/>
      <c r="I56" s="1675"/>
      <c r="J56" s="1675"/>
      <c r="K56" s="1424"/>
    </row>
    <row r="57" spans="1:23">
      <c r="A57" s="1378"/>
      <c r="B57" s="1675"/>
      <c r="C57" s="1675"/>
      <c r="D57" s="1675"/>
      <c r="E57" s="1675"/>
      <c r="F57" s="1675"/>
      <c r="G57" s="1675"/>
      <c r="H57" s="1675"/>
      <c r="I57" s="1675"/>
      <c r="J57" s="1675"/>
      <c r="K57" s="1424"/>
    </row>
    <row r="58" spans="1:23">
      <c r="A58" s="1378"/>
      <c r="B58" s="1675"/>
      <c r="C58" s="1675"/>
      <c r="D58" s="1675"/>
      <c r="E58" s="1675"/>
      <c r="F58" s="1675"/>
      <c r="G58" s="1675"/>
      <c r="H58" s="1675"/>
      <c r="I58" s="1675"/>
      <c r="J58" s="1675"/>
      <c r="K58" s="1424"/>
    </row>
    <row r="59" spans="1:23">
      <c r="A59" s="1378"/>
      <c r="B59" s="1675"/>
      <c r="C59" s="1675"/>
      <c r="D59" s="1675"/>
      <c r="E59" s="1675"/>
      <c r="F59" s="1675"/>
      <c r="G59" s="1675"/>
      <c r="H59" s="1675"/>
      <c r="I59" s="1675"/>
      <c r="J59" s="1675"/>
      <c r="K59" s="1424"/>
    </row>
    <row r="60" spans="1:23">
      <c r="A60" s="1378"/>
      <c r="B60" s="1425"/>
      <c r="C60" s="1425"/>
      <c r="D60" s="1425"/>
      <c r="E60" s="1425"/>
      <c r="F60" s="1425"/>
      <c r="G60" s="1425"/>
      <c r="H60" s="1425"/>
      <c r="I60" s="1425"/>
      <c r="J60" s="1425"/>
      <c r="K60" s="1424"/>
    </row>
    <row r="61" spans="1:23">
      <c r="A61" s="1378" t="s">
        <v>1240</v>
      </c>
      <c r="B61" s="1428" t="s">
        <v>1241</v>
      </c>
      <c r="C61" s="1428"/>
      <c r="D61" s="1428"/>
      <c r="E61" s="1428"/>
      <c r="F61" s="1428"/>
      <c r="G61" s="1428"/>
      <c r="H61" s="1428"/>
      <c r="I61" s="1428"/>
      <c r="J61" s="1428"/>
      <c r="K61" s="1424"/>
    </row>
    <row r="62" spans="1:23">
      <c r="A62" s="1378"/>
      <c r="B62" s="1428"/>
      <c r="C62" s="1428"/>
      <c r="D62" s="1428"/>
      <c r="E62" s="1428"/>
      <c r="F62" s="1428"/>
      <c r="G62" s="1428"/>
      <c r="H62" s="1428"/>
      <c r="I62" s="1428"/>
      <c r="J62" s="1428"/>
      <c r="K62" s="1424"/>
    </row>
    <row r="63" spans="1:23">
      <c r="A63" s="1378" t="s">
        <v>1242</v>
      </c>
      <c r="B63" s="1675" t="s">
        <v>1385</v>
      </c>
      <c r="C63" s="1675"/>
      <c r="D63" s="1675"/>
      <c r="E63" s="1675"/>
      <c r="F63" s="1675"/>
      <c r="G63" s="1675"/>
      <c r="H63" s="1675"/>
      <c r="I63" s="1675"/>
      <c r="J63" s="1675"/>
    </row>
    <row r="64" spans="1:23">
      <c r="A64" s="1378"/>
      <c r="B64" s="1675"/>
      <c r="C64" s="1675"/>
      <c r="D64" s="1675"/>
      <c r="E64" s="1675"/>
      <c r="F64" s="1675"/>
      <c r="G64" s="1675"/>
      <c r="H64" s="1675"/>
      <c r="I64" s="1675"/>
      <c r="J64" s="1675"/>
    </row>
    <row r="65" spans="1:10">
      <c r="A65" s="1378"/>
      <c r="B65" s="1425"/>
      <c r="C65" s="1425"/>
      <c r="D65" s="1425"/>
      <c r="E65" s="1425"/>
      <c r="F65" s="1425"/>
      <c r="G65" s="1425"/>
      <c r="H65" s="1425"/>
      <c r="I65" s="1425"/>
      <c r="J65" s="1425"/>
    </row>
    <row r="66" spans="1:10">
      <c r="A66" s="1378" t="s">
        <v>1243</v>
      </c>
      <c r="B66" s="1622" t="s">
        <v>1386</v>
      </c>
      <c r="C66" s="1622"/>
      <c r="D66" s="1622"/>
      <c r="E66" s="1622"/>
      <c r="F66" s="1622"/>
      <c r="G66" s="1622"/>
      <c r="H66" s="1622"/>
      <c r="I66" s="1622"/>
      <c r="J66" s="1622"/>
    </row>
    <row r="67" spans="1:10">
      <c r="A67" s="1378"/>
      <c r="B67" s="1429"/>
      <c r="C67" s="1425"/>
      <c r="D67" s="1425"/>
      <c r="E67" s="1425"/>
      <c r="F67" s="1425"/>
      <c r="G67" s="1425"/>
      <c r="H67" s="1425"/>
      <c r="I67" s="1425"/>
      <c r="J67" s="1425"/>
    </row>
    <row r="68" spans="1:10">
      <c r="A68" s="1430" t="s">
        <v>1244</v>
      </c>
      <c r="B68" s="1675" t="s">
        <v>1387</v>
      </c>
      <c r="C68" s="1675"/>
      <c r="D68" s="1675"/>
      <c r="E68" s="1675"/>
      <c r="F68" s="1675"/>
      <c r="G68" s="1675"/>
      <c r="H68" s="1675"/>
      <c r="I68" s="1675"/>
      <c r="J68" s="1425"/>
    </row>
    <row r="69" spans="1:10">
      <c r="A69" s="1378"/>
      <c r="B69" s="1675"/>
      <c r="C69" s="1675"/>
      <c r="D69" s="1675"/>
      <c r="E69" s="1675"/>
      <c r="F69" s="1675"/>
      <c r="G69" s="1675"/>
      <c r="H69" s="1675"/>
      <c r="I69" s="1675"/>
      <c r="J69" s="1425"/>
    </row>
    <row r="70" spans="1:10">
      <c r="A70" s="1378"/>
      <c r="B70" s="1379"/>
      <c r="C70" s="1378"/>
      <c r="D70" s="1378"/>
      <c r="E70" s="1378"/>
      <c r="F70" s="1378"/>
      <c r="G70" s="1378"/>
      <c r="H70" s="1378"/>
      <c r="I70" s="1378"/>
      <c r="J70" s="1378"/>
    </row>
    <row r="71" spans="1:10">
      <c r="A71" s="1430" t="s">
        <v>1249</v>
      </c>
      <c r="B71" s="1675" t="s">
        <v>1388</v>
      </c>
      <c r="C71" s="1675"/>
      <c r="D71" s="1675"/>
      <c r="E71" s="1675"/>
      <c r="F71" s="1675"/>
      <c r="G71" s="1675"/>
      <c r="H71" s="1675"/>
      <c r="I71" s="1675"/>
      <c r="J71" s="1378"/>
    </row>
    <row r="72" spans="1:10">
      <c r="A72" s="1378"/>
      <c r="B72" s="1675"/>
      <c r="C72" s="1675"/>
      <c r="D72" s="1675"/>
      <c r="E72" s="1675"/>
      <c r="F72" s="1675"/>
      <c r="G72" s="1675"/>
      <c r="H72" s="1675"/>
      <c r="I72" s="1675"/>
      <c r="J72" s="1378"/>
    </row>
    <row r="73" spans="1:10">
      <c r="A73" s="1378"/>
      <c r="B73" s="1379"/>
      <c r="C73" s="1378"/>
      <c r="D73" s="1378"/>
      <c r="E73" s="1378"/>
      <c r="F73" s="1378"/>
      <c r="G73" s="1378"/>
      <c r="H73" s="1378"/>
      <c r="I73" s="1378"/>
      <c r="J73" s="1378"/>
    </row>
    <row r="74" spans="1:10">
      <c r="A74" s="1378"/>
      <c r="B74" s="1430"/>
      <c r="C74" s="1378"/>
      <c r="D74" s="1378"/>
      <c r="E74" s="1378"/>
      <c r="F74" s="1378"/>
      <c r="G74" s="1378"/>
      <c r="H74" s="1378"/>
      <c r="I74" s="1378"/>
      <c r="J74" s="1378"/>
    </row>
    <row r="75" spans="1:10">
      <c r="A75" s="1378"/>
      <c r="B75" s="1426"/>
      <c r="C75" s="1378"/>
      <c r="D75" s="1378"/>
      <c r="E75" s="1378"/>
      <c r="F75" s="1378"/>
      <c r="G75" s="1378"/>
      <c r="H75" s="1378"/>
      <c r="I75" s="1378"/>
      <c r="J75" s="1378"/>
    </row>
    <row r="76" spans="1:10">
      <c r="A76" s="1378"/>
      <c r="B76" s="1426"/>
      <c r="C76" s="1378"/>
      <c r="D76" s="1378"/>
      <c r="E76" s="1378"/>
      <c r="F76" s="1378"/>
      <c r="G76" s="1378"/>
      <c r="H76" s="1378"/>
      <c r="I76" s="1378"/>
      <c r="J76" s="1378"/>
    </row>
    <row r="77" spans="1:10">
      <c r="A77" s="1378"/>
      <c r="B77" s="1426"/>
      <c r="C77" s="1378"/>
      <c r="D77" s="1378"/>
      <c r="E77" s="1378"/>
      <c r="F77" s="1378"/>
      <c r="G77" s="1378"/>
      <c r="H77" s="1378"/>
      <c r="I77" s="1378"/>
      <c r="J77" s="1378"/>
    </row>
    <row r="78" spans="1:10">
      <c r="A78" s="1378"/>
      <c r="B78" s="1426"/>
      <c r="C78" s="1378"/>
      <c r="D78" s="1431"/>
      <c r="E78" s="1431"/>
      <c r="F78" s="1431"/>
      <c r="G78" s="1378"/>
      <c r="H78" s="1378"/>
      <c r="I78" s="1378"/>
      <c r="J78" s="1378"/>
    </row>
    <row r="79" spans="1:10">
      <c r="A79" s="1432"/>
      <c r="B79" s="1424"/>
      <c r="C79" s="1424"/>
      <c r="D79" s="1424"/>
      <c r="E79" s="1424"/>
      <c r="F79" s="1424"/>
      <c r="G79" s="1424"/>
      <c r="H79" s="1424"/>
      <c r="I79" s="1424"/>
      <c r="J79" s="1424"/>
    </row>
    <row r="80" spans="1:10">
      <c r="A80" s="1424"/>
      <c r="B80" s="1424"/>
      <c r="C80" s="1424"/>
      <c r="D80" s="1424"/>
      <c r="E80" s="1424"/>
      <c r="F80" s="1424"/>
      <c r="G80" s="1424"/>
      <c r="H80" s="1424"/>
      <c r="I80" s="1424"/>
      <c r="J80" s="1424"/>
    </row>
    <row r="81" spans="1:10">
      <c r="A81" s="1424"/>
      <c r="B81" s="1424"/>
      <c r="C81" s="1424"/>
      <c r="D81" s="1424"/>
      <c r="E81" s="1424"/>
      <c r="F81" s="1424"/>
      <c r="G81" s="1424"/>
      <c r="H81" s="1424"/>
      <c r="I81" s="1424"/>
      <c r="J81" s="1424"/>
    </row>
    <row r="82" spans="1:10">
      <c r="A82" s="1424"/>
      <c r="B82" s="1424"/>
      <c r="C82" s="1424"/>
      <c r="D82" s="1424"/>
      <c r="E82" s="1424"/>
      <c r="F82" s="1424"/>
      <c r="G82" s="1424"/>
      <c r="H82" s="1424"/>
      <c r="I82" s="1424"/>
      <c r="J82" s="1424"/>
    </row>
    <row r="83" spans="1:10">
      <c r="A83" s="1424"/>
      <c r="B83" s="1424"/>
      <c r="C83" s="1424"/>
      <c r="D83" s="1433"/>
      <c r="E83" s="1433"/>
      <c r="F83" s="1433"/>
      <c r="G83" s="1424"/>
      <c r="H83" s="1424"/>
      <c r="I83" s="1424"/>
      <c r="J83" s="1424"/>
    </row>
    <row r="84" spans="1:10">
      <c r="A84" s="1424"/>
      <c r="B84" s="1424"/>
      <c r="C84" s="1424"/>
      <c r="D84" s="1427"/>
      <c r="E84" s="1427"/>
      <c r="F84" s="1427"/>
      <c r="G84" s="1424"/>
      <c r="H84" s="1424"/>
      <c r="I84" s="1424"/>
      <c r="J84" s="1424"/>
    </row>
    <row r="85" spans="1:10">
      <c r="A85" s="1424"/>
      <c r="B85" s="1424"/>
      <c r="C85" s="1424"/>
      <c r="D85" s="1433"/>
      <c r="E85" s="1433"/>
      <c r="F85" s="1433"/>
      <c r="G85" s="1424"/>
      <c r="H85" s="1424"/>
      <c r="I85" s="1424"/>
      <c r="J85" s="1424"/>
    </row>
  </sheetData>
  <mergeCells count="17">
    <mergeCell ref="B55:J59"/>
    <mergeCell ref="B63:J64"/>
    <mergeCell ref="B68:I69"/>
    <mergeCell ref="B71:I72"/>
    <mergeCell ref="P32:Q32"/>
    <mergeCell ref="R35:R36"/>
    <mergeCell ref="R37:R38"/>
    <mergeCell ref="A51:J52"/>
    <mergeCell ref="B48:C48"/>
    <mergeCell ref="N9:O9"/>
    <mergeCell ref="P9:Q9"/>
    <mergeCell ref="P11:Q11"/>
    <mergeCell ref="R18:R19"/>
    <mergeCell ref="B29:C29"/>
    <mergeCell ref="R16:R17"/>
    <mergeCell ref="I9:J9"/>
    <mergeCell ref="K9:M9"/>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N60"/>
  <sheetViews>
    <sheetView topLeftCell="A22" workbookViewId="0">
      <selection activeCell="H37" sqref="H37"/>
    </sheetView>
  </sheetViews>
  <sheetFormatPr defaultRowHeight="12.75"/>
  <cols>
    <col min="1" max="2" width="9.140625" style="1586"/>
    <col min="3" max="3" width="3.85546875" style="1586" customWidth="1"/>
    <col min="4" max="4" width="16.42578125" style="1586" customWidth="1"/>
    <col min="5" max="5" width="30.85546875" style="1586" bestFit="1" customWidth="1"/>
    <col min="6" max="6" width="17.7109375" style="1586" customWidth="1"/>
    <col min="7" max="7" width="4.140625" style="1586" customWidth="1"/>
    <col min="8" max="8" width="15.85546875" style="1586" customWidth="1"/>
    <col min="9" max="9" width="5.85546875" style="1586" customWidth="1"/>
    <col min="10" max="10" width="14.42578125" style="1586" customWidth="1"/>
    <col min="11" max="11" width="3" style="1586" customWidth="1"/>
    <col min="12" max="12" width="16.7109375" style="1586" customWidth="1"/>
    <col min="13" max="13" width="12" style="1586" customWidth="1"/>
    <col min="14" max="14" width="16.85546875" style="1586" customWidth="1"/>
    <col min="15" max="16384" width="9.140625" style="1586"/>
  </cols>
  <sheetData>
    <row r="1" spans="1:14" ht="15">
      <c r="A1" s="1582" t="s">
        <v>1326</v>
      </c>
      <c r="B1" s="1583"/>
      <c r="C1" s="1583"/>
      <c r="D1" s="1583"/>
      <c r="E1" s="1583"/>
      <c r="F1" s="1583"/>
      <c r="G1" s="1583"/>
      <c r="H1" s="1583"/>
      <c r="I1" s="1583"/>
      <c r="J1" s="1583"/>
      <c r="K1" s="1583"/>
      <c r="L1" s="1584"/>
      <c r="M1" s="1583"/>
      <c r="N1" s="1585" t="s">
        <v>1327</v>
      </c>
    </row>
    <row r="2" spans="1:14">
      <c r="A2" s="1587" t="s">
        <v>789</v>
      </c>
      <c r="B2" s="1583"/>
      <c r="C2" s="1583"/>
      <c r="D2" s="1583"/>
      <c r="E2" s="1583"/>
      <c r="F2" s="1583"/>
      <c r="G2" s="1583"/>
      <c r="H2" s="1583"/>
      <c r="I2" s="1583"/>
      <c r="J2" s="1583"/>
      <c r="K2" s="1583"/>
      <c r="L2" s="1588"/>
      <c r="M2" s="1583"/>
      <c r="N2" s="1589" t="s">
        <v>1328</v>
      </c>
    </row>
    <row r="3" spans="1:14">
      <c r="A3" s="1582" t="s">
        <v>1329</v>
      </c>
      <c r="B3" s="1583"/>
      <c r="C3" s="1583"/>
      <c r="D3" s="1583"/>
      <c r="E3" s="1583"/>
      <c r="F3" s="1583"/>
      <c r="G3" s="1583"/>
      <c r="H3" s="1583"/>
      <c r="I3" s="1583"/>
      <c r="J3" s="1583"/>
      <c r="K3" s="1583"/>
      <c r="L3" s="1583"/>
      <c r="M3" s="1583"/>
      <c r="N3" s="1589" t="s">
        <v>1330</v>
      </c>
    </row>
    <row r="4" spans="1:14">
      <c r="A4" s="1582" t="s">
        <v>1331</v>
      </c>
      <c r="B4" s="1583"/>
      <c r="C4" s="1583"/>
      <c r="D4" s="1583"/>
      <c r="E4" s="1583"/>
      <c r="F4" s="1583"/>
      <c r="G4" s="1583"/>
      <c r="H4" s="1583"/>
      <c r="I4" s="1583"/>
      <c r="J4" s="1583"/>
      <c r="K4" s="1583"/>
      <c r="L4" s="1583"/>
      <c r="M4" s="1583"/>
      <c r="N4" s="1585" t="s">
        <v>1332</v>
      </c>
    </row>
    <row r="5" spans="1:14">
      <c r="A5" s="1582" t="s">
        <v>1333</v>
      </c>
      <c r="B5" s="1583"/>
      <c r="C5" s="1583"/>
      <c r="D5" s="1583"/>
      <c r="E5" s="1583"/>
      <c r="F5" s="1583"/>
      <c r="G5" s="1583"/>
      <c r="H5" s="1583"/>
      <c r="I5" s="1583"/>
      <c r="J5" s="1583"/>
      <c r="K5" s="1583"/>
      <c r="L5" s="1583"/>
      <c r="M5" s="1583"/>
      <c r="N5" s="1583"/>
    </row>
    <row r="6" spans="1:14">
      <c r="A6" s="1582" t="s">
        <v>1174</v>
      </c>
      <c r="B6" s="1583"/>
      <c r="C6" s="1583"/>
      <c r="D6" s="1583"/>
      <c r="E6" s="1583"/>
      <c r="F6" s="1583"/>
      <c r="G6" s="1583"/>
      <c r="H6" s="1583"/>
      <c r="I6" s="1583"/>
      <c r="J6" s="1583"/>
      <c r="K6" s="1583"/>
      <c r="L6" s="1583"/>
      <c r="M6" s="1583"/>
      <c r="N6" s="1583"/>
    </row>
    <row r="7" spans="1:14">
      <c r="A7" s="1678" t="s">
        <v>1334</v>
      </c>
      <c r="B7" s="1678"/>
      <c r="C7" s="1678"/>
      <c r="D7" s="1678"/>
      <c r="E7" s="1678"/>
      <c r="F7" s="1678"/>
      <c r="G7" s="1678"/>
      <c r="H7" s="1678"/>
      <c r="I7" s="1678"/>
      <c r="J7" s="1678"/>
      <c r="K7" s="1678"/>
      <c r="L7" s="1678"/>
      <c r="M7" s="1678"/>
      <c r="N7" s="1678"/>
    </row>
    <row r="8" spans="1:14">
      <c r="A8" s="1582"/>
      <c r="B8" s="1583"/>
      <c r="C8" s="1583"/>
      <c r="D8" s="1583"/>
      <c r="E8" s="1583"/>
      <c r="F8" s="1583"/>
      <c r="G8" s="1583"/>
      <c r="H8" s="1583"/>
      <c r="I8" s="1583"/>
      <c r="J8" s="1583"/>
      <c r="K8" s="1583"/>
      <c r="L8" s="1583"/>
      <c r="M8" s="1583"/>
      <c r="N8" s="1583"/>
    </row>
    <row r="9" spans="1:14">
      <c r="A9" s="1590" t="s">
        <v>148</v>
      </c>
      <c r="B9" s="1591" t="s">
        <v>149</v>
      </c>
      <c r="C9" s="1591"/>
      <c r="D9" s="1591" t="s">
        <v>150</v>
      </c>
      <c r="E9" s="1591" t="s">
        <v>151</v>
      </c>
      <c r="F9" s="1591" t="s">
        <v>152</v>
      </c>
      <c r="G9" s="1591"/>
      <c r="H9" s="1591" t="s">
        <v>1335</v>
      </c>
      <c r="I9" s="1591"/>
      <c r="J9" s="1591" t="s">
        <v>154</v>
      </c>
      <c r="K9" s="1591"/>
      <c r="L9" s="1591" t="s">
        <v>1336</v>
      </c>
      <c r="M9" s="1591" t="s">
        <v>156</v>
      </c>
      <c r="N9" s="1591" t="s">
        <v>1337</v>
      </c>
    </row>
    <row r="10" spans="1:14">
      <c r="A10" s="1582"/>
      <c r="B10" s="1583"/>
      <c r="C10" s="1583"/>
      <c r="D10" s="1583"/>
      <c r="E10" s="1583"/>
      <c r="F10" s="1592"/>
      <c r="G10" s="1592"/>
      <c r="H10" s="1592"/>
      <c r="I10" s="1583"/>
      <c r="J10" s="1583"/>
      <c r="K10" s="1583"/>
      <c r="L10" s="1583"/>
      <c r="M10" s="1583"/>
      <c r="N10" s="1583"/>
    </row>
    <row r="11" spans="1:14" ht="51">
      <c r="A11" s="1582" t="s">
        <v>1338</v>
      </c>
      <c r="B11" s="1583" t="s">
        <v>1339</v>
      </c>
      <c r="C11" s="1583"/>
      <c r="D11" s="1593" t="s">
        <v>1340</v>
      </c>
      <c r="E11" s="1591" t="s">
        <v>1187</v>
      </c>
      <c r="F11" s="1594" t="s">
        <v>1341</v>
      </c>
      <c r="G11" s="1594"/>
      <c r="H11" s="1594" t="s">
        <v>1342</v>
      </c>
      <c r="I11" s="1595"/>
      <c r="J11" s="1594" t="s">
        <v>1343</v>
      </c>
      <c r="K11" s="1596"/>
      <c r="L11" s="1594" t="s">
        <v>1344</v>
      </c>
      <c r="M11" s="1593" t="s">
        <v>1345</v>
      </c>
      <c r="N11" s="1593" t="s">
        <v>1346</v>
      </c>
    </row>
    <row r="12" spans="1:14">
      <c r="A12" s="1582"/>
      <c r="B12" s="1583"/>
      <c r="C12" s="1583"/>
      <c r="D12" s="1593"/>
      <c r="E12" s="1591"/>
      <c r="F12" s="1594"/>
      <c r="G12" s="1594"/>
      <c r="H12" s="1594"/>
      <c r="I12" s="1595"/>
      <c r="J12" s="1594"/>
      <c r="K12" s="1596"/>
      <c r="L12" s="1594"/>
      <c r="M12" s="1583"/>
      <c r="N12" s="1592"/>
    </row>
    <row r="13" spans="1:14">
      <c r="A13" s="1597" t="s">
        <v>1347</v>
      </c>
      <c r="B13" s="1583"/>
      <c r="C13" s="1583"/>
      <c r="D13" s="1593"/>
      <c r="E13" s="1591"/>
      <c r="F13" s="1594"/>
      <c r="G13" s="1594"/>
      <c r="H13" s="1594"/>
      <c r="I13" s="1595"/>
      <c r="J13" s="1594"/>
      <c r="K13" s="1596"/>
      <c r="L13" s="1594"/>
      <c r="M13" s="1583"/>
      <c r="N13" s="1592"/>
    </row>
    <row r="14" spans="1:14">
      <c r="A14" s="1582"/>
      <c r="B14" s="1583"/>
      <c r="C14" s="1583"/>
      <c r="D14" s="1598"/>
      <c r="E14" s="1598"/>
      <c r="F14" s="1599"/>
      <c r="G14" s="1599"/>
      <c r="H14" s="1599"/>
      <c r="I14" s="1599"/>
      <c r="J14" s="1599"/>
      <c r="K14" s="1599"/>
      <c r="L14" s="1599"/>
      <c r="M14" s="1599"/>
      <c r="N14" s="1599"/>
    </row>
    <row r="15" spans="1:14">
      <c r="A15" s="1600">
        <v>1</v>
      </c>
      <c r="B15" s="1601" t="s">
        <v>1348</v>
      </c>
      <c r="C15" s="1583"/>
      <c r="D15" s="1598">
        <v>103620308</v>
      </c>
      <c r="E15" s="1598" t="s">
        <v>1349</v>
      </c>
      <c r="F15" s="1596"/>
      <c r="G15" s="1596"/>
      <c r="H15" s="1602"/>
      <c r="I15" s="1583"/>
      <c r="J15" s="1596"/>
      <c r="K15" s="1596"/>
      <c r="L15" s="1596"/>
      <c r="M15" s="1599"/>
      <c r="N15" s="1599"/>
    </row>
    <row r="16" spans="1:14" ht="25.5">
      <c r="A16" s="1600">
        <f>+A15+1</f>
        <v>2</v>
      </c>
      <c r="B16" s="1601"/>
      <c r="C16" s="1583"/>
      <c r="D16" s="1603">
        <v>-38108885</v>
      </c>
      <c r="E16" s="1604" t="s">
        <v>1350</v>
      </c>
      <c r="F16" s="1596"/>
      <c r="G16" s="1596"/>
      <c r="H16" s="1596"/>
      <c r="I16" s="1583"/>
      <c r="J16" s="1596"/>
      <c r="K16" s="1596"/>
      <c r="L16" s="1596"/>
      <c r="M16" s="1599"/>
      <c r="N16" s="1599"/>
    </row>
    <row r="17" spans="1:14">
      <c r="A17" s="1600">
        <f>+A16+1</f>
        <v>3</v>
      </c>
      <c r="B17" s="1601"/>
      <c r="C17" s="1583"/>
      <c r="D17" s="1605">
        <v>42177</v>
      </c>
      <c r="E17" s="1598" t="s">
        <v>1351</v>
      </c>
      <c r="F17" s="1596"/>
      <c r="G17" s="1596"/>
      <c r="H17" s="1606"/>
      <c r="I17" s="1607"/>
      <c r="J17" s="1596"/>
      <c r="K17" s="1599"/>
      <c r="L17" s="1596"/>
      <c r="M17" s="1599"/>
      <c r="N17" s="1599"/>
    </row>
    <row r="18" spans="1:14">
      <c r="A18" s="1600">
        <f>++A17+1</f>
        <v>4</v>
      </c>
      <c r="B18" s="1601" t="s">
        <v>1352</v>
      </c>
      <c r="C18" s="1583"/>
      <c r="D18" s="1598">
        <f>+D15-D16-D17</f>
        <v>141687016</v>
      </c>
      <c r="E18" s="1601"/>
      <c r="F18" s="1599">
        <v>50746202.979999997</v>
      </c>
      <c r="G18" s="1599"/>
      <c r="H18" s="1608">
        <f>+F18/D18</f>
        <v>0.35815704510284835</v>
      </c>
      <c r="I18" s="1607"/>
      <c r="J18" s="1599">
        <f>-F18</f>
        <v>-50746202.979999997</v>
      </c>
      <c r="K18" s="1599"/>
      <c r="L18" s="1599">
        <f>+F18+J18</f>
        <v>0</v>
      </c>
      <c r="M18" s="1599"/>
      <c r="N18" s="1599">
        <f>+D18-L18</f>
        <v>141687016</v>
      </c>
    </row>
    <row r="19" spans="1:14">
      <c r="A19" s="1582"/>
      <c r="B19" s="1601"/>
      <c r="C19" s="1583"/>
      <c r="D19" s="1598"/>
      <c r="E19" s="1598"/>
      <c r="F19" s="1606"/>
      <c r="G19" s="1606"/>
      <c r="H19" s="1606"/>
      <c r="I19" s="1607"/>
      <c r="J19" s="1599"/>
      <c r="K19" s="1599"/>
      <c r="L19" s="1599"/>
      <c r="M19" s="1599"/>
      <c r="N19" s="1599"/>
    </row>
    <row r="20" spans="1:14">
      <c r="A20" s="1600">
        <f>+A18+1</f>
        <v>5</v>
      </c>
      <c r="B20" s="1601" t="s">
        <v>1353</v>
      </c>
      <c r="C20" s="1583"/>
      <c r="D20" s="1598">
        <v>0</v>
      </c>
      <c r="E20" s="1598" t="s">
        <v>1354</v>
      </c>
      <c r="F20" s="1599">
        <v>0</v>
      </c>
      <c r="G20" s="1599"/>
      <c r="H20" s="1606"/>
      <c r="I20" s="1679"/>
      <c r="J20" s="1599"/>
      <c r="K20" s="1599"/>
      <c r="L20" s="1599">
        <v>0</v>
      </c>
      <c r="M20" s="1599"/>
      <c r="N20" s="1599"/>
    </row>
    <row r="21" spans="1:14">
      <c r="A21" s="1600"/>
      <c r="B21" s="1601"/>
      <c r="C21" s="1583"/>
      <c r="D21" s="1598"/>
      <c r="E21" s="1598"/>
      <c r="F21" s="1602"/>
      <c r="G21" s="1602"/>
      <c r="H21" s="1606"/>
      <c r="I21" s="1679"/>
      <c r="J21" s="1599"/>
      <c r="K21" s="1599"/>
      <c r="L21" s="1599"/>
      <c r="N21" s="1599"/>
    </row>
    <row r="22" spans="1:14">
      <c r="A22" s="1600">
        <f>++A20+1</f>
        <v>6</v>
      </c>
      <c r="B22" s="1601" t="s">
        <v>1355</v>
      </c>
      <c r="C22" s="1583"/>
      <c r="D22" s="1598">
        <v>-1220427286</v>
      </c>
      <c r="E22" s="1598" t="s">
        <v>1356</v>
      </c>
      <c r="F22" s="1599">
        <v>-488451481.18999994</v>
      </c>
      <c r="G22" s="1599"/>
      <c r="H22" s="1608">
        <f>+F22/D22</f>
        <v>0.40022989226250383</v>
      </c>
      <c r="I22" s="1680"/>
      <c r="J22" s="1599">
        <v>-6957920.4000000004</v>
      </c>
      <c r="K22" s="1599"/>
      <c r="L22" s="1599">
        <f>+F22+J22-L23</f>
        <v>-344594480.58999991</v>
      </c>
      <c r="M22" s="1599" t="s">
        <v>1357</v>
      </c>
      <c r="N22" s="1599">
        <f>+D22-L22-L23</f>
        <v>-725017884.41000009</v>
      </c>
    </row>
    <row r="23" spans="1:14">
      <c r="A23" s="1600"/>
      <c r="B23" s="1601"/>
      <c r="C23" s="1583"/>
      <c r="D23" s="1598"/>
      <c r="E23" s="1598"/>
      <c r="F23" s="1596"/>
      <c r="G23" s="1596"/>
      <c r="H23" s="1609"/>
      <c r="I23" s="1680"/>
      <c r="J23" s="1599"/>
      <c r="K23" s="1599"/>
      <c r="L23" s="1599">
        <v>-150814921</v>
      </c>
      <c r="M23" s="1599" t="s">
        <v>1358</v>
      </c>
      <c r="N23" s="1599"/>
    </row>
    <row r="24" spans="1:14">
      <c r="A24" s="1600">
        <f>+A22+1</f>
        <v>7</v>
      </c>
      <c r="B24" s="1601" t="s">
        <v>1359</v>
      </c>
      <c r="C24" s="1583"/>
      <c r="D24" s="1598">
        <v>-286460142</v>
      </c>
      <c r="E24" s="1598" t="s">
        <v>1360</v>
      </c>
      <c r="F24" s="1596"/>
      <c r="G24" s="1596"/>
      <c r="H24" s="1596"/>
      <c r="I24" s="1596"/>
      <c r="J24" s="1596"/>
      <c r="K24" s="1596"/>
      <c r="L24" s="1596"/>
      <c r="M24" s="1596"/>
      <c r="N24" s="1599"/>
    </row>
    <row r="25" spans="1:14">
      <c r="A25" s="1600">
        <f>+A24+1</f>
        <v>8</v>
      </c>
      <c r="B25" s="1601"/>
      <c r="C25" s="1583"/>
      <c r="D25" s="1605">
        <v>-39451844</v>
      </c>
      <c r="E25" s="1598" t="s">
        <v>1361</v>
      </c>
      <c r="F25" s="1596"/>
      <c r="G25" s="1596"/>
      <c r="H25" s="1606"/>
      <c r="I25" s="1610"/>
      <c r="J25" s="1599"/>
      <c r="K25" s="1599"/>
      <c r="L25" s="1599"/>
      <c r="N25" s="1599"/>
    </row>
    <row r="26" spans="1:14">
      <c r="A26" s="1600">
        <f>+A25+1</f>
        <v>9</v>
      </c>
      <c r="B26" s="1611" t="s">
        <v>1362</v>
      </c>
      <c r="C26" s="1583"/>
      <c r="D26" s="1598">
        <f>+D24-D25</f>
        <v>-247008298</v>
      </c>
      <c r="E26" s="1598"/>
      <c r="F26" s="1599">
        <v>-89013588.250000015</v>
      </c>
      <c r="G26" s="1599"/>
      <c r="H26" s="1606">
        <f>+F26/D26</f>
        <v>0.36036679322408843</v>
      </c>
      <c r="I26" s="1610"/>
      <c r="J26" s="1599">
        <f>-J18-J22</f>
        <v>57704123.379999995</v>
      </c>
      <c r="K26" s="1599"/>
      <c r="L26" s="1599">
        <f>+F26+J26</f>
        <v>-31309464.87000002</v>
      </c>
      <c r="M26" s="1599" t="s">
        <v>1208</v>
      </c>
      <c r="N26" s="1599">
        <f>+D26-L26</f>
        <v>-215698833.13</v>
      </c>
    </row>
    <row r="27" spans="1:14">
      <c r="A27" s="1600"/>
      <c r="B27" s="1583"/>
      <c r="C27" s="1583"/>
      <c r="D27" s="1598"/>
      <c r="E27" s="1598"/>
      <c r="F27" s="1606"/>
      <c r="G27" s="1606"/>
      <c r="H27" s="1606"/>
      <c r="I27" s="1599"/>
      <c r="J27" s="1599"/>
      <c r="K27" s="1599"/>
      <c r="L27" s="1599"/>
      <c r="M27" s="1599"/>
      <c r="N27" s="1599"/>
    </row>
    <row r="28" spans="1:14">
      <c r="A28" s="1600">
        <f>+A26+1</f>
        <v>10</v>
      </c>
      <c r="B28" s="1583" t="s">
        <v>118</v>
      </c>
      <c r="C28" s="1583"/>
      <c r="D28" s="1612">
        <f>+D26+D22+D20+D18</f>
        <v>-1325748568</v>
      </c>
      <c r="E28" s="1598" t="s">
        <v>1363</v>
      </c>
      <c r="F28" s="1612">
        <f>SUM(F17:F26)</f>
        <v>-526718866.45999992</v>
      </c>
      <c r="G28" s="1613"/>
      <c r="H28" s="1596"/>
      <c r="I28" s="1596"/>
      <c r="J28" s="1612">
        <f>SUM(J17:J26)</f>
        <v>0</v>
      </c>
      <c r="K28" s="1599"/>
      <c r="L28" s="1612">
        <f>SUM(L17:L26)</f>
        <v>-526718866.45999992</v>
      </c>
      <c r="M28" s="1599"/>
      <c r="N28" s="1612">
        <f>SUM(N17:N26)</f>
        <v>-799029701.54000008</v>
      </c>
    </row>
    <row r="29" spans="1:14">
      <c r="A29" s="1600"/>
      <c r="B29" s="1583"/>
      <c r="C29" s="1583"/>
      <c r="D29" s="1598"/>
      <c r="E29" s="1598"/>
      <c r="F29" s="1606"/>
      <c r="G29" s="1606"/>
      <c r="H29" s="1606"/>
      <c r="I29" s="1599"/>
      <c r="J29" s="1599"/>
      <c r="K29" s="1599"/>
      <c r="L29" s="1599"/>
      <c r="M29" s="1599"/>
      <c r="N29" s="1599"/>
    </row>
    <row r="30" spans="1:14">
      <c r="A30" s="1600"/>
      <c r="B30" s="1583"/>
      <c r="C30" s="1583"/>
      <c r="D30" s="1598"/>
      <c r="E30" s="1598"/>
      <c r="F30" s="1606"/>
      <c r="G30" s="1606"/>
      <c r="H30" s="1606"/>
      <c r="I30" s="1599"/>
      <c r="J30" s="1599"/>
      <c r="K30" s="1599"/>
      <c r="L30" s="1599"/>
      <c r="M30" s="1599"/>
      <c r="N30" s="1599"/>
    </row>
    <row r="31" spans="1:14">
      <c r="A31" s="1614" t="s">
        <v>1364</v>
      </c>
      <c r="B31" s="1583"/>
      <c r="C31" s="1583"/>
      <c r="D31" s="1598"/>
      <c r="E31" s="1598"/>
      <c r="F31" s="1606"/>
      <c r="G31" s="1606"/>
      <c r="H31" s="1606"/>
      <c r="I31" s="1599"/>
      <c r="J31" s="1599"/>
      <c r="K31" s="1599"/>
      <c r="L31" s="1599"/>
      <c r="M31" s="1599"/>
      <c r="N31" s="1599"/>
    </row>
    <row r="32" spans="1:14">
      <c r="A32" s="1600"/>
      <c r="B32" s="1583"/>
      <c r="C32" s="1583"/>
      <c r="D32" s="1583"/>
      <c r="E32" s="1583"/>
      <c r="F32" s="1602"/>
      <c r="G32" s="1602"/>
      <c r="H32" s="1596"/>
      <c r="I32" s="1595"/>
      <c r="J32" s="1599"/>
      <c r="K32" s="1599"/>
      <c r="L32" s="1596"/>
      <c r="M32" s="1599"/>
      <c r="N32" s="1599"/>
    </row>
    <row r="33" spans="1:14">
      <c r="A33" s="1600">
        <f>+A28+1</f>
        <v>11</v>
      </c>
      <c r="B33" s="1601" t="s">
        <v>1352</v>
      </c>
      <c r="C33" s="1583"/>
      <c r="D33" s="1598">
        <v>24487832.219999999</v>
      </c>
      <c r="E33" s="1601" t="s">
        <v>632</v>
      </c>
      <c r="F33" s="1599">
        <v>9670559.8699999992</v>
      </c>
      <c r="G33" s="1599"/>
      <c r="H33" s="1608">
        <f>+F33/D33</f>
        <v>0.39491286052269431</v>
      </c>
      <c r="I33" s="1595"/>
      <c r="J33" s="1599">
        <f>-F33</f>
        <v>-9670559.8699999992</v>
      </c>
      <c r="K33" s="1599"/>
      <c r="L33" s="1599">
        <f>+F33+J33</f>
        <v>0</v>
      </c>
      <c r="M33" s="1599"/>
      <c r="N33" s="1599">
        <f>+D33-L33</f>
        <v>24487832.219999999</v>
      </c>
    </row>
    <row r="34" spans="1:14">
      <c r="A34" s="1600"/>
      <c r="B34" s="1601"/>
      <c r="C34" s="1583"/>
      <c r="D34" s="1598"/>
      <c r="E34" s="1598"/>
      <c r="F34" s="1606"/>
      <c r="G34" s="1606"/>
      <c r="H34" s="1606"/>
      <c r="I34" s="1595"/>
      <c r="J34" s="1599"/>
      <c r="K34" s="1599"/>
      <c r="L34" s="1599"/>
      <c r="M34" s="1596"/>
      <c r="N34" s="1599"/>
    </row>
    <row r="35" spans="1:14">
      <c r="A35" s="1600">
        <f>+A33+1</f>
        <v>12</v>
      </c>
      <c r="B35" s="1601" t="s">
        <v>1355</v>
      </c>
      <c r="C35" s="1583"/>
      <c r="D35" s="1615">
        <v>-391833315.39999998</v>
      </c>
      <c r="E35" s="1601" t="s">
        <v>632</v>
      </c>
      <c r="F35" s="1599">
        <v>-156979825.40000004</v>
      </c>
      <c r="G35" s="1599"/>
      <c r="H35" s="1608">
        <f>+F35/D35</f>
        <v>0.40062909209174419</v>
      </c>
      <c r="I35" s="1595"/>
      <c r="J35" s="1599">
        <v>-2558167.6</v>
      </c>
      <c r="K35" s="1599"/>
      <c r="L35" s="1599">
        <f>+F35+J35-L36</f>
        <v>-123296457.00000003</v>
      </c>
      <c r="M35" s="1599" t="s">
        <v>1357</v>
      </c>
      <c r="N35" s="1599">
        <f>+D35-L35-L36</f>
        <v>-232295322.39999998</v>
      </c>
    </row>
    <row r="36" spans="1:14">
      <c r="A36" s="1600"/>
      <c r="B36" s="1601"/>
      <c r="C36" s="1583"/>
      <c r="D36" s="1615"/>
      <c r="E36" s="1598"/>
      <c r="F36" s="1596"/>
      <c r="G36" s="1596"/>
      <c r="H36" s="1609"/>
      <c r="I36" s="1595"/>
      <c r="J36" s="1599"/>
      <c r="K36" s="1599"/>
      <c r="L36" s="1616">
        <v>-36241536</v>
      </c>
      <c r="M36" s="1599" t="s">
        <v>1358</v>
      </c>
      <c r="N36" s="1599"/>
    </row>
    <row r="37" spans="1:14">
      <c r="A37" s="1600"/>
      <c r="B37" s="1601"/>
      <c r="C37" s="1583"/>
      <c r="D37" s="1615"/>
      <c r="E37" s="1598"/>
      <c r="F37" s="1596"/>
      <c r="G37" s="1596"/>
      <c r="H37" s="1609"/>
      <c r="I37" s="1595"/>
      <c r="J37" s="1599"/>
      <c r="K37" s="1599"/>
      <c r="L37" s="1599"/>
      <c r="M37" s="1596"/>
      <c r="N37" s="1599"/>
    </row>
    <row r="38" spans="1:14">
      <c r="A38" s="1600">
        <f>+A35+1</f>
        <v>13</v>
      </c>
      <c r="B38" s="1601" t="s">
        <v>1362</v>
      </c>
      <c r="C38" s="1583"/>
      <c r="D38" s="1613">
        <v>-44333058.700000003</v>
      </c>
      <c r="E38" s="1601" t="s">
        <v>632</v>
      </c>
      <c r="F38" s="1599">
        <v>-17733221.219999999</v>
      </c>
      <c r="G38" s="1599"/>
      <c r="H38" s="1606">
        <f>+F38/D38</f>
        <v>0.39999994902224056</v>
      </c>
      <c r="I38" s="1595"/>
      <c r="J38" s="1599">
        <v>12228727</v>
      </c>
      <c r="K38" s="1599"/>
      <c r="L38" s="1599">
        <f>+F38+J38</f>
        <v>-5504494.2199999988</v>
      </c>
      <c r="M38" s="1599" t="s">
        <v>1208</v>
      </c>
      <c r="N38" s="1599">
        <f>+D38-L38</f>
        <v>-38828564.480000004</v>
      </c>
    </row>
    <row r="39" spans="1:14">
      <c r="A39" s="1600"/>
      <c r="B39" s="1583"/>
      <c r="C39" s="1583"/>
      <c r="D39" s="1598"/>
      <c r="E39" s="1598"/>
      <c r="F39" s="1606"/>
      <c r="G39" s="1606"/>
      <c r="H39" s="1606"/>
      <c r="I39" s="1595"/>
      <c r="J39" s="1599"/>
      <c r="K39" s="1599"/>
      <c r="L39" s="1599"/>
      <c r="N39" s="1599"/>
    </row>
    <row r="40" spans="1:14">
      <c r="A40" s="1600">
        <f>+A38+1</f>
        <v>14</v>
      </c>
      <c r="B40" s="1583" t="s">
        <v>118</v>
      </c>
      <c r="C40" s="1583"/>
      <c r="D40" s="1612">
        <f>SUM(D33:D38)</f>
        <v>-411678541.87999994</v>
      </c>
      <c r="E40" s="1583" t="s">
        <v>1365</v>
      </c>
      <c r="F40" s="1612">
        <f>SUM(F33:F38)</f>
        <v>-165042486.75000003</v>
      </c>
      <c r="G40" s="1613"/>
      <c r="H40" s="1596"/>
      <c r="I40" s="1596"/>
      <c r="J40" s="1612">
        <f>SUM(J33:J38)</f>
        <v>-0.4699999988079071</v>
      </c>
      <c r="K40" s="1599"/>
      <c r="L40" s="1612">
        <f>SUM(L33:L38)</f>
        <v>-165042487.22000003</v>
      </c>
      <c r="M40" s="1596"/>
      <c r="N40" s="1612">
        <f>SUM(N33:N38)</f>
        <v>-246636054.65999997</v>
      </c>
    </row>
    <row r="41" spans="1:14">
      <c r="A41" s="1600"/>
      <c r="B41" s="1583"/>
      <c r="C41" s="1583"/>
      <c r="D41" s="1617"/>
      <c r="E41" s="1583"/>
      <c r="F41" s="1583"/>
      <c r="G41" s="1583"/>
      <c r="H41" s="1583"/>
      <c r="I41" s="1583"/>
      <c r="J41" s="1583"/>
      <c r="K41" s="1583"/>
      <c r="L41" s="1596"/>
      <c r="M41" s="1596"/>
      <c r="N41" s="1599"/>
    </row>
    <row r="42" spans="1:14">
      <c r="A42" s="1676" t="s">
        <v>1366</v>
      </c>
      <c r="B42" s="1676"/>
      <c r="C42" s="1676"/>
      <c r="D42" s="1676"/>
      <c r="E42" s="1676"/>
      <c r="F42" s="1676"/>
      <c r="G42" s="1676"/>
      <c r="H42" s="1676"/>
      <c r="I42" s="1596"/>
      <c r="N42" s="1618"/>
    </row>
    <row r="43" spans="1:14">
      <c r="A43" s="1676"/>
      <c r="B43" s="1676"/>
      <c r="C43" s="1676"/>
      <c r="D43" s="1676"/>
      <c r="E43" s="1676"/>
      <c r="F43" s="1676"/>
      <c r="G43" s="1676"/>
      <c r="H43" s="1676"/>
      <c r="I43" s="1596"/>
      <c r="N43" s="1618"/>
    </row>
    <row r="44" spans="1:14">
      <c r="A44" s="1676"/>
      <c r="B44" s="1676"/>
      <c r="C44" s="1676"/>
      <c r="D44" s="1676"/>
      <c r="E44" s="1676"/>
      <c r="F44" s="1676"/>
      <c r="G44" s="1676"/>
      <c r="H44" s="1676"/>
      <c r="I44" s="1596"/>
      <c r="N44" s="1618"/>
    </row>
    <row r="45" spans="1:14">
      <c r="A45" s="1676"/>
      <c r="B45" s="1676"/>
      <c r="C45" s="1676"/>
      <c r="D45" s="1676"/>
      <c r="E45" s="1676"/>
      <c r="F45" s="1676"/>
      <c r="G45" s="1676"/>
      <c r="H45" s="1676"/>
      <c r="I45" s="1596"/>
    </row>
    <row r="46" spans="1:14">
      <c r="A46" s="1600"/>
      <c r="B46" s="1583"/>
      <c r="C46" s="1583"/>
      <c r="D46" s="1583"/>
      <c r="E46" s="1583"/>
      <c r="F46" s="1596"/>
      <c r="G46" s="1596"/>
      <c r="H46" s="1596"/>
      <c r="I46" s="1596"/>
    </row>
    <row r="47" spans="1:14">
      <c r="A47" s="1582" t="s">
        <v>1367</v>
      </c>
      <c r="B47" s="1676" t="s">
        <v>1368</v>
      </c>
      <c r="C47" s="1676"/>
      <c r="D47" s="1676"/>
      <c r="E47" s="1676"/>
      <c r="F47" s="1676"/>
      <c r="G47" s="1676"/>
      <c r="H47" s="1676"/>
      <c r="I47" s="1596"/>
    </row>
    <row r="48" spans="1:14">
      <c r="A48" s="1582"/>
      <c r="B48" s="1676"/>
      <c r="C48" s="1676"/>
      <c r="D48" s="1676"/>
      <c r="E48" s="1676"/>
      <c r="F48" s="1676"/>
      <c r="G48" s="1676"/>
      <c r="H48" s="1676"/>
      <c r="I48" s="1596"/>
    </row>
    <row r="49" spans="1:9">
      <c r="A49" s="1582"/>
      <c r="B49" s="1676"/>
      <c r="C49" s="1676"/>
      <c r="D49" s="1676"/>
      <c r="E49" s="1676"/>
      <c r="F49" s="1676"/>
      <c r="G49" s="1676"/>
      <c r="H49" s="1676"/>
      <c r="I49" s="1596"/>
    </row>
    <row r="50" spans="1:9">
      <c r="A50" s="1583"/>
      <c r="B50" s="1583"/>
      <c r="C50" s="1583"/>
      <c r="D50" s="1583"/>
      <c r="E50" s="1583"/>
      <c r="F50" s="1583"/>
      <c r="G50" s="1583"/>
      <c r="H50" s="1583"/>
    </row>
    <row r="51" spans="1:9">
      <c r="A51" s="1582" t="s">
        <v>1369</v>
      </c>
      <c r="B51" s="1676" t="s">
        <v>1370</v>
      </c>
      <c r="C51" s="1676"/>
      <c r="D51" s="1676"/>
      <c r="E51" s="1676"/>
      <c r="F51" s="1676"/>
      <c r="G51" s="1676"/>
      <c r="H51" s="1676"/>
      <c r="I51" s="1583"/>
    </row>
    <row r="52" spans="1:9">
      <c r="A52" s="1582"/>
      <c r="B52" s="1676"/>
      <c r="C52" s="1676"/>
      <c r="D52" s="1676"/>
      <c r="E52" s="1676"/>
      <c r="F52" s="1676"/>
      <c r="G52" s="1676"/>
      <c r="H52" s="1676"/>
      <c r="I52" s="1583"/>
    </row>
    <row r="53" spans="1:9">
      <c r="A53" s="1583"/>
      <c r="B53" s="1583"/>
      <c r="C53" s="1583"/>
      <c r="D53" s="1583"/>
      <c r="E53" s="1583"/>
      <c r="F53" s="1583"/>
      <c r="G53" s="1583"/>
      <c r="H53" s="1583"/>
      <c r="I53" s="1583"/>
    </row>
    <row r="54" spans="1:9">
      <c r="A54" s="1582" t="s">
        <v>1371</v>
      </c>
      <c r="B54" s="1676" t="s">
        <v>1372</v>
      </c>
      <c r="C54" s="1676"/>
      <c r="D54" s="1676"/>
      <c r="E54" s="1676"/>
      <c r="F54" s="1676"/>
      <c r="G54" s="1676"/>
      <c r="H54" s="1676"/>
      <c r="I54" s="1676"/>
    </row>
    <row r="55" spans="1:9">
      <c r="A55" s="1619"/>
      <c r="B55" s="1676"/>
      <c r="C55" s="1676"/>
      <c r="D55" s="1676"/>
      <c r="E55" s="1676"/>
      <c r="F55" s="1676"/>
      <c r="G55" s="1676"/>
      <c r="H55" s="1676"/>
      <c r="I55" s="1676"/>
    </row>
    <row r="56" spans="1:9">
      <c r="A56" s="1583"/>
      <c r="B56" s="1583"/>
      <c r="C56" s="1583"/>
      <c r="D56" s="1583"/>
      <c r="E56" s="1583"/>
      <c r="F56" s="1583"/>
      <c r="G56" s="1583"/>
      <c r="H56" s="1583"/>
      <c r="I56" s="1583"/>
    </row>
    <row r="57" spans="1:9">
      <c r="A57" s="1583" t="s">
        <v>1373</v>
      </c>
      <c r="B57" s="1677" t="s">
        <v>1374</v>
      </c>
      <c r="C57" s="1677"/>
      <c r="D57" s="1677"/>
      <c r="E57" s="1677"/>
      <c r="F57" s="1677"/>
      <c r="G57" s="1583"/>
      <c r="H57" s="1583"/>
      <c r="I57" s="1583"/>
    </row>
    <row r="58" spans="1:9">
      <c r="A58" s="1582"/>
      <c r="B58" s="1677"/>
      <c r="C58" s="1677"/>
      <c r="D58" s="1677"/>
      <c r="E58" s="1677"/>
      <c r="F58" s="1677"/>
      <c r="G58" s="1583"/>
      <c r="H58" s="1583"/>
      <c r="I58" s="1583"/>
    </row>
    <row r="60" spans="1:9">
      <c r="A60" s="1619"/>
    </row>
  </sheetData>
  <mergeCells count="8">
    <mergeCell ref="B54:I55"/>
    <mergeCell ref="B57:F58"/>
    <mergeCell ref="A7:N7"/>
    <mergeCell ref="I20:I21"/>
    <mergeCell ref="I22:I23"/>
    <mergeCell ref="A42:H45"/>
    <mergeCell ref="B47:H49"/>
    <mergeCell ref="B51:H52"/>
  </mergeCell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94"/>
  <sheetViews>
    <sheetView view="pageBreakPreview" topLeftCell="A31" zoomScaleNormal="85" zoomScaleSheetLayoutView="100" workbookViewId="0">
      <selection activeCell="L44" sqref="L44"/>
    </sheetView>
  </sheetViews>
  <sheetFormatPr defaultColWidth="11.42578125" defaultRowHeight="12.75"/>
  <cols>
    <col min="1" max="1" width="8.140625" style="68" customWidth="1"/>
    <col min="2" max="2" width="16.5703125" style="69" bestFit="1" customWidth="1"/>
    <col min="3" max="3" width="44.140625" style="69" customWidth="1"/>
    <col min="4" max="4" width="29.5703125" style="69" customWidth="1"/>
    <col min="5" max="5" width="24.42578125" style="78" customWidth="1"/>
    <col min="6" max="6" width="1" style="78" customWidth="1"/>
    <col min="7" max="7" width="20.85546875" style="69" customWidth="1"/>
    <col min="8" max="8" width="1" style="69" customWidth="1"/>
    <col min="9" max="9" width="19.140625" style="69" customWidth="1"/>
    <col min="10" max="10" width="16.5703125" style="69" customWidth="1"/>
    <col min="11" max="11" width="15.42578125" style="69" customWidth="1"/>
    <col min="12" max="12" width="33.5703125" style="69" customWidth="1"/>
    <col min="13" max="14" width="13.42578125" style="69" customWidth="1"/>
    <col min="15" max="15" width="13.5703125" style="69" customWidth="1"/>
    <col min="16" max="16384" width="11.42578125" style="69"/>
  </cols>
  <sheetData>
    <row r="1" spans="1:15" ht="15.75">
      <c r="A1" s="898" t="s">
        <v>114</v>
      </c>
    </row>
    <row r="2" spans="1:15" ht="15.75">
      <c r="A2" s="898" t="s">
        <v>114</v>
      </c>
    </row>
    <row r="3" spans="1:15" ht="15">
      <c r="A3" s="1653" t="str">
        <f>+'WS B ADIT &amp; ITC'!A3:I3</f>
        <v>AEP East Companies</v>
      </c>
      <c r="B3" s="1653"/>
      <c r="C3" s="1653"/>
      <c r="D3" s="1653"/>
      <c r="E3" s="1653"/>
      <c r="F3" s="1653"/>
      <c r="G3" s="1653"/>
      <c r="H3" s="1653"/>
      <c r="I3" s="1653"/>
      <c r="J3" s="1653"/>
      <c r="K3" s="1653"/>
      <c r="L3" s="1653"/>
      <c r="M3" s="38"/>
      <c r="N3" s="38"/>
      <c r="O3" s="38"/>
    </row>
    <row r="4" spans="1:15" ht="15">
      <c r="A4" s="1654" t="str">
        <f>"Cost of Service Formula Rate Using Actual/Projected FF1 Balances"</f>
        <v>Cost of Service Formula Rate Using Actual/Projected FF1 Balances</v>
      </c>
      <c r="B4" s="1654"/>
      <c r="C4" s="1654"/>
      <c r="D4" s="1654"/>
      <c r="E4" s="1654"/>
      <c r="F4" s="1654"/>
      <c r="G4" s="1654"/>
      <c r="H4" s="1654"/>
      <c r="I4" s="1654"/>
      <c r="J4" s="1654"/>
      <c r="K4" s="1654"/>
      <c r="L4" s="1654"/>
      <c r="M4" s="96"/>
      <c r="N4" s="96"/>
      <c r="O4" s="96"/>
    </row>
    <row r="5" spans="1:15" ht="15">
      <c r="A5" s="1654" t="s">
        <v>495</v>
      </c>
      <c r="B5" s="1654"/>
      <c r="C5" s="1654"/>
      <c r="D5" s="1654"/>
      <c r="E5" s="1654"/>
      <c r="F5" s="1654"/>
      <c r="G5" s="1654"/>
      <c r="H5" s="1654"/>
      <c r="I5" s="1654"/>
      <c r="J5" s="1654"/>
      <c r="K5" s="1654"/>
      <c r="L5" s="1654"/>
      <c r="M5" s="95"/>
      <c r="N5" s="95"/>
      <c r="O5" s="95"/>
    </row>
    <row r="6" spans="1:15" ht="15">
      <c r="A6" s="1665" t="str">
        <f>TCOS!F9</f>
        <v>Ohio Power Company</v>
      </c>
      <c r="B6" s="1665"/>
      <c r="C6" s="1665"/>
      <c r="D6" s="1665"/>
      <c r="E6" s="1665"/>
      <c r="F6" s="1665"/>
      <c r="G6" s="1665"/>
      <c r="H6" s="1665"/>
      <c r="I6" s="1665"/>
      <c r="J6" s="1665"/>
      <c r="K6" s="1665"/>
      <c r="L6" s="1665"/>
      <c r="M6" s="4"/>
      <c r="N6" s="4"/>
      <c r="O6" s="4"/>
    </row>
    <row r="7" spans="1:15" ht="15">
      <c r="A7" s="4"/>
      <c r="B7" s="4"/>
      <c r="C7" s="4"/>
      <c r="D7" s="4"/>
      <c r="E7" s="4"/>
      <c r="F7" s="4"/>
      <c r="G7" s="4"/>
      <c r="H7" s="3"/>
      <c r="I7" s="67"/>
      <c r="J7" s="67"/>
      <c r="K7" s="67"/>
      <c r="L7" s="67"/>
      <c r="M7" s="67"/>
      <c r="N7" s="67"/>
      <c r="O7" s="67"/>
    </row>
    <row r="8" spans="1:15" ht="12.75" customHeight="1">
      <c r="A8" s="93"/>
      <c r="B8" s="93" t="s">
        <v>162</v>
      </c>
      <c r="C8" s="93" t="s">
        <v>163</v>
      </c>
      <c r="D8" s="91" t="s">
        <v>4</v>
      </c>
      <c r="E8" s="91" t="s">
        <v>165</v>
      </c>
      <c r="F8" s="93"/>
      <c r="G8" s="93" t="s">
        <v>84</v>
      </c>
      <c r="H8" s="93"/>
      <c r="I8" s="93" t="s">
        <v>85</v>
      </c>
      <c r="J8" s="93" t="s">
        <v>86</v>
      </c>
      <c r="K8" s="93" t="s">
        <v>91</v>
      </c>
      <c r="L8" s="93" t="s">
        <v>500</v>
      </c>
      <c r="M8" s="93"/>
      <c r="N8" s="93"/>
      <c r="O8" s="93"/>
    </row>
    <row r="9" spans="1:15">
      <c r="A9" s="66"/>
    </row>
    <row r="10" spans="1:15" ht="18">
      <c r="A10" s="90"/>
      <c r="B10" s="1683" t="s">
        <v>207</v>
      </c>
      <c r="C10" s="1683"/>
      <c r="D10" s="1683"/>
      <c r="E10" s="1683"/>
      <c r="F10" s="1683"/>
      <c r="G10" s="1683"/>
      <c r="H10" s="1683"/>
      <c r="I10" s="1683"/>
      <c r="J10" s="1683"/>
      <c r="K10" s="1683"/>
      <c r="O10" s="78"/>
    </row>
    <row r="11" spans="1:15">
      <c r="A11" s="90"/>
      <c r="I11" s="16"/>
      <c r="J11" s="16"/>
      <c r="O11" s="78"/>
    </row>
    <row r="12" spans="1:15" ht="12.75" customHeight="1">
      <c r="A12" s="12" t="s">
        <v>169</v>
      </c>
      <c r="B12" s="71"/>
      <c r="C12" s="79"/>
      <c r="D12" s="194"/>
      <c r="E12" s="1684" t="str">
        <f>"Balance @ December 31, "&amp;TCOS!L4&amp;""</f>
        <v>Balance @ December 31, 2021</v>
      </c>
      <c r="F12" s="194"/>
      <c r="G12" s="1684" t="str">
        <f>"Balance @ December 31, "&amp;TCOS!L4-1&amp;""</f>
        <v>Balance @ December 31, 2020</v>
      </c>
      <c r="H12" s="240"/>
      <c r="I12" s="1666" t="str">
        <f>"Average Balance for "&amp;TCOS!L4&amp;""</f>
        <v>Average Balance for 2021</v>
      </c>
      <c r="J12" s="102"/>
      <c r="K12" s="74"/>
      <c r="L12" s="80"/>
      <c r="M12" s="74"/>
      <c r="N12" s="74"/>
      <c r="O12" s="78"/>
    </row>
    <row r="13" spans="1:15">
      <c r="A13" s="12" t="s">
        <v>106</v>
      </c>
      <c r="B13" s="75"/>
      <c r="C13" s="71"/>
      <c r="D13" s="195" t="s">
        <v>206</v>
      </c>
      <c r="E13" s="1685"/>
      <c r="F13" s="196"/>
      <c r="G13" s="1685"/>
      <c r="H13" s="197"/>
      <c r="I13" s="1664"/>
      <c r="J13" s="102"/>
      <c r="K13" s="81"/>
      <c r="L13" s="82"/>
      <c r="M13" s="72"/>
      <c r="N13" s="72"/>
    </row>
    <row r="14" spans="1:15">
      <c r="A14" s="75"/>
      <c r="B14" s="75"/>
      <c r="C14" s="71"/>
      <c r="D14" s="77"/>
      <c r="E14" s="70"/>
      <c r="F14" s="70"/>
      <c r="G14" s="213"/>
      <c r="H14" s="76"/>
      <c r="J14" s="16"/>
      <c r="K14" s="81"/>
      <c r="L14" s="82"/>
      <c r="M14" s="72"/>
      <c r="N14" s="72"/>
    </row>
    <row r="15" spans="1:15">
      <c r="A15" s="75">
        <v>1</v>
      </c>
      <c r="B15" s="75"/>
      <c r="D15" s="60"/>
      <c r="E15" s="30"/>
      <c r="F15" s="30"/>
      <c r="G15" s="30"/>
      <c r="H15" s="30"/>
      <c r="I15" s="30"/>
      <c r="K15" s="30"/>
      <c r="L15" s="30"/>
      <c r="M15" s="72"/>
      <c r="N15" s="72"/>
    </row>
    <row r="16" spans="1:15">
      <c r="A16" s="75"/>
      <c r="B16" s="75"/>
      <c r="C16" s="60"/>
      <c r="D16" s="60"/>
      <c r="E16" s="30"/>
      <c r="F16" s="30"/>
      <c r="G16" s="30"/>
      <c r="H16" s="30"/>
      <c r="I16" s="30"/>
      <c r="K16" s="30"/>
      <c r="L16" s="30"/>
      <c r="M16" s="72"/>
      <c r="N16" s="72"/>
    </row>
    <row r="17" spans="1:14">
      <c r="A17" s="75">
        <f>+A15+1</f>
        <v>2</v>
      </c>
      <c r="B17" s="75"/>
      <c r="C17" s="60" t="s">
        <v>526</v>
      </c>
      <c r="D17" s="73" t="s">
        <v>435</v>
      </c>
      <c r="E17" s="845">
        <v>1017815</v>
      </c>
      <c r="F17" s="30"/>
      <c r="G17" s="845">
        <v>3844429</v>
      </c>
      <c r="H17" s="30"/>
      <c r="I17" s="133">
        <f>IF(G17="",0,(E17+G17)/2)</f>
        <v>2431122</v>
      </c>
      <c r="J17"/>
      <c r="K17" s="133"/>
      <c r="L17" s="30"/>
      <c r="M17" s="72"/>
      <c r="N17" s="72"/>
    </row>
    <row r="18" spans="1:14">
      <c r="A18" s="75"/>
      <c r="B18" s="75"/>
      <c r="C18" s="60"/>
      <c r="D18"/>
      <c r="E18"/>
      <c r="F18"/>
      <c r="G18"/>
      <c r="H18"/>
      <c r="I18" s="5"/>
      <c r="J18"/>
      <c r="K18"/>
      <c r="L18" s="30"/>
      <c r="M18" s="72"/>
      <c r="N18" s="72"/>
    </row>
    <row r="19" spans="1:14">
      <c r="A19" s="75">
        <f>+A17+1</f>
        <v>3</v>
      </c>
      <c r="B19" s="75"/>
      <c r="C19" s="60" t="s">
        <v>528</v>
      </c>
      <c r="D19" s="73" t="s">
        <v>436</v>
      </c>
      <c r="E19" s="845">
        <v>142085</v>
      </c>
      <c r="F19" s="30"/>
      <c r="G19" s="845">
        <v>296555</v>
      </c>
      <c r="H19" s="76"/>
      <c r="I19" s="133">
        <f>IF(G19="",0,(E19+G19)/2)</f>
        <v>219320</v>
      </c>
      <c r="J19" s="16"/>
      <c r="K19" s="81"/>
      <c r="L19" s="82"/>
      <c r="M19" s="72"/>
      <c r="N19" s="72"/>
    </row>
    <row r="20" spans="1:14">
      <c r="A20" s="75"/>
      <c r="B20" s="75"/>
      <c r="C20" s="60"/>
      <c r="D20" s="73"/>
      <c r="E20"/>
      <c r="F20"/>
      <c r="G20"/>
      <c r="H20"/>
      <c r="I20"/>
      <c r="J20"/>
      <c r="K20" s="81"/>
      <c r="L20" s="82"/>
      <c r="M20" s="72"/>
      <c r="N20" s="72"/>
    </row>
    <row r="21" spans="1:14">
      <c r="A21" s="75">
        <f>+A19+1</f>
        <v>4</v>
      </c>
      <c r="B21" s="75"/>
      <c r="C21" s="60" t="s">
        <v>755</v>
      </c>
      <c r="D21" s="73" t="s">
        <v>437</v>
      </c>
      <c r="E21" s="845"/>
      <c r="F21" s="30"/>
      <c r="G21" s="845"/>
      <c r="H21" s="76"/>
      <c r="I21" s="133">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84"/>
      <c r="B23" s="184"/>
      <c r="C23" s="185"/>
      <c r="D23" s="186"/>
      <c r="E23" s="187"/>
      <c r="F23" s="187"/>
      <c r="G23" s="188"/>
      <c r="H23" s="189"/>
      <c r="I23" s="188"/>
      <c r="J23" s="190"/>
      <c r="K23" s="191"/>
      <c r="L23" s="192"/>
      <c r="M23" s="72"/>
      <c r="N23" s="72"/>
    </row>
    <row r="24" spans="1:14" ht="18">
      <c r="A24" s="75"/>
      <c r="B24" s="1683" t="s">
        <v>754</v>
      </c>
      <c r="C24" s="1683"/>
      <c r="D24" s="1683"/>
      <c r="E24" s="1683"/>
      <c r="F24" s="1683"/>
      <c r="G24" s="1683"/>
      <c r="H24" s="1683"/>
      <c r="I24" s="1683"/>
      <c r="J24" s="1683"/>
      <c r="K24" s="1683"/>
      <c r="L24" s="82"/>
      <c r="M24" s="72"/>
      <c r="N24" s="72"/>
    </row>
    <row r="25" spans="1:14" ht="12.75" customHeight="1">
      <c r="A25" s="75"/>
      <c r="B25" s="146"/>
      <c r="C25" s="71"/>
      <c r="D25" s="24"/>
      <c r="E25" s="10"/>
      <c r="F25" s="69"/>
      <c r="G25" s="10" t="s">
        <v>87</v>
      </c>
      <c r="I25" s="8" t="s">
        <v>115</v>
      </c>
      <c r="J25" s="8" t="s">
        <v>115</v>
      </c>
      <c r="K25" s="8" t="s">
        <v>179</v>
      </c>
      <c r="L25" s="82"/>
      <c r="M25" s="72"/>
      <c r="N25" s="72"/>
    </row>
    <row r="26" spans="1:14" ht="12.75" customHeight="1">
      <c r="A26" s="75"/>
      <c r="B26" s="146"/>
      <c r="C26" s="71"/>
      <c r="D26" s="143" t="s">
        <v>501</v>
      </c>
      <c r="E26" s="8" t="s">
        <v>530</v>
      </c>
      <c r="F26" s="69"/>
      <c r="G26" s="8" t="s">
        <v>115</v>
      </c>
      <c r="I26" s="8" t="s">
        <v>523</v>
      </c>
      <c r="J26" s="8" t="s">
        <v>161</v>
      </c>
      <c r="K26" s="8" t="s">
        <v>180</v>
      </c>
      <c r="L26" s="82"/>
      <c r="M26" s="72"/>
      <c r="N26" s="72"/>
    </row>
    <row r="27" spans="1:14" ht="12.75" customHeight="1">
      <c r="A27" s="75">
        <f>+A21+1</f>
        <v>5</v>
      </c>
      <c r="B27" s="146"/>
      <c r="C27" s="71"/>
      <c r="D27" s="13" t="s">
        <v>88</v>
      </c>
      <c r="E27" s="13" t="s">
        <v>502</v>
      </c>
      <c r="F27" s="69"/>
      <c r="G27" s="13" t="s">
        <v>524</v>
      </c>
      <c r="I27" s="13" t="s">
        <v>524</v>
      </c>
      <c r="J27" s="13" t="s">
        <v>524</v>
      </c>
      <c r="K27" s="13" t="s">
        <v>525</v>
      </c>
      <c r="L27" s="82"/>
      <c r="M27" s="72"/>
      <c r="N27" s="72"/>
    </row>
    <row r="28" spans="1:14">
      <c r="A28" s="75"/>
      <c r="B28" s="75"/>
      <c r="C28" s="71"/>
      <c r="D28" s="77"/>
      <c r="E28" s="70"/>
      <c r="F28" s="70"/>
      <c r="G28" s="78"/>
      <c r="H28" s="76"/>
      <c r="I28" s="78"/>
      <c r="J28" s="16"/>
      <c r="K28" s="214"/>
      <c r="L28" s="82"/>
      <c r="M28" s="72"/>
      <c r="N28" s="72"/>
    </row>
    <row r="29" spans="1:14">
      <c r="A29" s="75">
        <f>+A27+1</f>
        <v>6</v>
      </c>
      <c r="B29" s="75"/>
      <c r="C29" s="69" t="str">
        <f>"Totals as of December 31, "&amp;TCOS!L4&amp;""</f>
        <v>Totals as of December 31, 2021</v>
      </c>
      <c r="D29" s="147">
        <f>ROUND(D60,0)</f>
        <v>6594846</v>
      </c>
      <c r="E29" s="221">
        <f>ROUND(E60,0)</f>
        <v>-250574136</v>
      </c>
      <c r="F29" s="148"/>
      <c r="G29" s="147">
        <f>ROUND(G60,0)</f>
        <v>0</v>
      </c>
      <c r="H29" s="76"/>
      <c r="I29" s="147">
        <f>ROUND(I60,0)</f>
        <v>4469074</v>
      </c>
      <c r="J29" s="149">
        <f>+J60</f>
        <v>252699907.64000002</v>
      </c>
      <c r="K29" s="147">
        <f>ROUND(K60,0)</f>
        <v>257168981</v>
      </c>
      <c r="L29" s="82"/>
      <c r="M29" s="72"/>
      <c r="N29" s="72"/>
    </row>
    <row r="30" spans="1:14">
      <c r="A30" s="75">
        <f>+A29+1</f>
        <v>7</v>
      </c>
      <c r="B30" s="75"/>
      <c r="C30" s="69" t="str">
        <f>"Totals as of December 31, "&amp;TCOS!L4-1&amp;""</f>
        <v>Totals as of December 31, 2020</v>
      </c>
      <c r="D30" s="152">
        <f>IF(D90="","",D90)</f>
        <v>7352949.3949999809</v>
      </c>
      <c r="E30" s="222">
        <f>IF(E90="","",E90)</f>
        <v>-246507923.90000004</v>
      </c>
      <c r="F30" s="70"/>
      <c r="G30" s="152" t="str">
        <f>IF(G90="","",G90)</f>
        <v/>
      </c>
      <c r="H30" s="76"/>
      <c r="I30" s="152">
        <f>IF(I90="","",I90)</f>
        <v>3612270.9550000001</v>
      </c>
      <c r="J30" s="152">
        <f>IF(J90="","",J90)</f>
        <v>250248602.34000003</v>
      </c>
      <c r="K30" s="152">
        <f>IF(K90="","",K90)</f>
        <v>253860873.29500002</v>
      </c>
      <c r="L30" s="82"/>
      <c r="M30" s="72"/>
      <c r="N30" s="72"/>
    </row>
    <row r="31" spans="1:14" ht="13.5" thickBot="1">
      <c r="A31" s="75">
        <f>+A30+1</f>
        <v>8</v>
      </c>
      <c r="B31" s="75"/>
      <c r="C31" s="98" t="s">
        <v>213</v>
      </c>
      <c r="D31" s="153">
        <f>IF(D30="",0,(D29+D30)/2)</f>
        <v>6973897.6974999905</v>
      </c>
      <c r="E31" s="153">
        <f>IF(E30="",0,(E29+E30)/2)</f>
        <v>-248541029.95000002</v>
      </c>
      <c r="F31" s="154"/>
      <c r="G31" s="153">
        <f>IF(G30="",0,(G29+G30)/2)</f>
        <v>0</v>
      </c>
      <c r="H31" s="92"/>
      <c r="I31" s="153">
        <f>IF(I30="",0,(I29+I30)/2)</f>
        <v>4040672.4775</v>
      </c>
      <c r="J31" s="153">
        <f>IF(J30="",0,(J29+J30)/2)</f>
        <v>251474254.99000001</v>
      </c>
      <c r="K31" s="153">
        <f>IF(K30="",0,(K29+K30)/2)</f>
        <v>255514927.14750001</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682" t="str">
        <f>"Prepayments Account 165 - Balance @ 12/31/"&amp;D36&amp;""</f>
        <v>Prepayments Account 165 - Balance @ 12/31/2021</v>
      </c>
      <c r="C34" s="1686"/>
      <c r="D34" s="1686"/>
      <c r="E34" s="1686"/>
      <c r="F34" s="1686"/>
      <c r="G34" s="1686"/>
      <c r="H34" s="1686"/>
      <c r="I34" s="1686"/>
      <c r="J34" s="1686"/>
      <c r="K34" s="81"/>
      <c r="L34" s="82"/>
      <c r="M34" s="72"/>
      <c r="N34" s="72"/>
    </row>
    <row r="35" spans="1:14">
      <c r="A35" s="75"/>
      <c r="B35" s="139"/>
      <c r="C35" s="141"/>
      <c r="D35" s="24"/>
      <c r="E35" s="10"/>
      <c r="F35" s="69"/>
      <c r="G35" s="10" t="s">
        <v>87</v>
      </c>
      <c r="I35" s="8" t="s">
        <v>115</v>
      </c>
      <c r="J35" s="8" t="s">
        <v>115</v>
      </c>
      <c r="K35" s="8" t="s">
        <v>179</v>
      </c>
      <c r="L35"/>
      <c r="M35" s="72"/>
      <c r="N35" s="72"/>
    </row>
    <row r="36" spans="1:14">
      <c r="A36" s="75"/>
      <c r="B36" s="139"/>
      <c r="C36" s="142"/>
      <c r="D36" s="143" t="str">
        <f>""&amp;TCOS!L4</f>
        <v>2021</v>
      </c>
      <c r="E36" s="8" t="s">
        <v>530</v>
      </c>
      <c r="F36" s="69"/>
      <c r="G36" s="8" t="s">
        <v>115</v>
      </c>
      <c r="I36" s="8" t="s">
        <v>523</v>
      </c>
      <c r="J36" s="8" t="s">
        <v>161</v>
      </c>
      <c r="K36" s="8" t="s">
        <v>180</v>
      </c>
      <c r="L36"/>
      <c r="M36" s="72"/>
      <c r="N36" s="72"/>
    </row>
    <row r="37" spans="1:14">
      <c r="A37" s="75">
        <f>+A31+1</f>
        <v>9</v>
      </c>
      <c r="B37" s="13" t="s">
        <v>90</v>
      </c>
      <c r="C37" s="13" t="s">
        <v>167</v>
      </c>
      <c r="D37" s="13" t="s">
        <v>88</v>
      </c>
      <c r="E37" s="13" t="s">
        <v>502</v>
      </c>
      <c r="F37" s="69"/>
      <c r="G37" s="13" t="s">
        <v>524</v>
      </c>
      <c r="I37" s="13" t="s">
        <v>524</v>
      </c>
      <c r="J37" s="13" t="s">
        <v>524</v>
      </c>
      <c r="K37" s="13" t="s">
        <v>525</v>
      </c>
      <c r="L37" s="13" t="s">
        <v>39</v>
      </c>
      <c r="M37" s="72"/>
      <c r="N37" s="72"/>
    </row>
    <row r="38" spans="1:14">
      <c r="A38" s="75"/>
      <c r="B38" s="139"/>
      <c r="C38" s="141"/>
      <c r="D38" s="141"/>
      <c r="E38" s="141"/>
      <c r="F38" s="69"/>
      <c r="G38" s="141"/>
      <c r="I38" s="141"/>
      <c r="J38" s="141"/>
      <c r="K38" s="214"/>
      <c r="L38"/>
      <c r="M38" s="72"/>
      <c r="N38" s="72"/>
    </row>
    <row r="39" spans="1:14" ht="14.25">
      <c r="A39" s="75">
        <f>+A37+1</f>
        <v>10</v>
      </c>
      <c r="B39" s="846" t="s">
        <v>865</v>
      </c>
      <c r="C39" s="847" t="s">
        <v>866</v>
      </c>
      <c r="D39" s="848">
        <v>1844123.03</v>
      </c>
      <c r="E39" s="100">
        <f>+D39-K39</f>
        <v>0</v>
      </c>
      <c r="F39" s="69"/>
      <c r="G39" s="106"/>
      <c r="I39" s="106">
        <f>D39</f>
        <v>1844123.03</v>
      </c>
      <c r="J39" s="106"/>
      <c r="K39" s="106">
        <f t="shared" ref="K39:K46" si="0">+G39+I39+J39</f>
        <v>1844123.03</v>
      </c>
      <c r="L39" t="s">
        <v>531</v>
      </c>
      <c r="M39" s="72"/>
      <c r="N39" s="72"/>
    </row>
    <row r="40" spans="1:14" ht="14.25">
      <c r="A40" s="75">
        <f t="shared" ref="A40:A52" si="1">+A39+1</f>
        <v>11</v>
      </c>
      <c r="B40" s="846" t="s">
        <v>867</v>
      </c>
      <c r="C40" s="847" t="s">
        <v>868</v>
      </c>
      <c r="D40" s="848">
        <v>0</v>
      </c>
      <c r="E40" s="100">
        <f t="shared" ref="E40:E58" si="2">+D40-K40</f>
        <v>0</v>
      </c>
      <c r="F40" s="69"/>
      <c r="G40" s="106"/>
      <c r="I40" s="106"/>
      <c r="J40" s="106"/>
      <c r="K40" s="106">
        <f t="shared" si="0"/>
        <v>0</v>
      </c>
      <c r="L40" s="21" t="s">
        <v>114</v>
      </c>
      <c r="M40" s="72"/>
      <c r="N40" s="72"/>
    </row>
    <row r="41" spans="1:14" ht="14.25">
      <c r="A41" s="75">
        <f t="shared" si="1"/>
        <v>12</v>
      </c>
      <c r="B41" s="846" t="s">
        <v>869</v>
      </c>
      <c r="C41" s="847" t="s">
        <v>870</v>
      </c>
      <c r="D41" s="848">
        <v>0</v>
      </c>
      <c r="E41" s="100">
        <f t="shared" si="2"/>
        <v>0</v>
      </c>
      <c r="F41" s="69"/>
      <c r="G41" s="106"/>
      <c r="I41" s="106"/>
      <c r="J41" s="106"/>
      <c r="K41" s="106">
        <f t="shared" si="0"/>
        <v>0</v>
      </c>
      <c r="L41" s="21"/>
      <c r="M41" s="72"/>
      <c r="N41" s="72"/>
    </row>
    <row r="42" spans="1:14" ht="14.25">
      <c r="A42" s="75">
        <f t="shared" si="1"/>
        <v>13</v>
      </c>
      <c r="B42" s="846" t="s">
        <v>871</v>
      </c>
      <c r="C42" s="847" t="s">
        <v>872</v>
      </c>
      <c r="D42" s="848">
        <v>0</v>
      </c>
      <c r="E42" s="100">
        <f t="shared" si="2"/>
        <v>0</v>
      </c>
      <c r="F42" s="69"/>
      <c r="G42" s="106"/>
      <c r="I42" s="106"/>
      <c r="J42" s="106"/>
      <c r="K42" s="106">
        <f t="shared" si="0"/>
        <v>0</v>
      </c>
      <c r="L42" s="21"/>
      <c r="M42" s="72"/>
      <c r="N42" s="72"/>
    </row>
    <row r="43" spans="1:14" ht="14.25">
      <c r="A43" s="75">
        <f t="shared" si="1"/>
        <v>14</v>
      </c>
      <c r="B43" s="846" t="s">
        <v>873</v>
      </c>
      <c r="C43" s="847" t="s">
        <v>874</v>
      </c>
      <c r="D43" s="848">
        <v>641236.15</v>
      </c>
      <c r="E43" s="100">
        <f t="shared" si="2"/>
        <v>0</v>
      </c>
      <c r="F43" s="69"/>
      <c r="G43" s="136"/>
      <c r="I43" s="106">
        <f>D43</f>
        <v>641236.15</v>
      </c>
      <c r="J43" s="136"/>
      <c r="K43" s="136">
        <f t="shared" si="0"/>
        <v>641236.15</v>
      </c>
      <c r="L43" s="1765" t="s">
        <v>115</v>
      </c>
      <c r="M43" s="72"/>
      <c r="N43" s="72"/>
    </row>
    <row r="44" spans="1:14" ht="14.25">
      <c r="A44" s="75">
        <f t="shared" si="1"/>
        <v>15</v>
      </c>
      <c r="B44" s="846" t="s">
        <v>875</v>
      </c>
      <c r="C44" s="847" t="s">
        <v>876</v>
      </c>
      <c r="D44" s="848">
        <v>249116.81</v>
      </c>
      <c r="E44" s="100">
        <f t="shared" si="2"/>
        <v>249116.81</v>
      </c>
      <c r="F44" s="69"/>
      <c r="G44" s="106"/>
      <c r="I44" s="106"/>
      <c r="J44" s="106"/>
      <c r="K44" s="136">
        <f t="shared" si="0"/>
        <v>0</v>
      </c>
      <c r="L44" s="21" t="s">
        <v>594</v>
      </c>
      <c r="M44" s="72"/>
      <c r="N44" s="72"/>
    </row>
    <row r="45" spans="1:14" ht="14.25">
      <c r="A45" s="75">
        <f t="shared" si="1"/>
        <v>16</v>
      </c>
      <c r="B45" s="846" t="s">
        <v>877</v>
      </c>
      <c r="C45" s="847" t="s">
        <v>878</v>
      </c>
      <c r="D45" s="848">
        <v>172412282.86000001</v>
      </c>
      <c r="E45" s="100">
        <f t="shared" si="2"/>
        <v>0</v>
      </c>
      <c r="F45" s="69"/>
      <c r="G45" s="106"/>
      <c r="I45" s="106"/>
      <c r="J45" s="106">
        <f>D45</f>
        <v>172412282.86000001</v>
      </c>
      <c r="K45" s="136">
        <f t="shared" si="0"/>
        <v>172412282.86000001</v>
      </c>
      <c r="L45" s="21" t="s">
        <v>898</v>
      </c>
      <c r="M45" s="72"/>
      <c r="N45" s="72"/>
    </row>
    <row r="46" spans="1:14" ht="14.25">
      <c r="A46" s="75">
        <f t="shared" si="1"/>
        <v>17</v>
      </c>
      <c r="B46" s="1233">
        <v>165001221</v>
      </c>
      <c r="C46" s="847" t="s">
        <v>879</v>
      </c>
      <c r="D46" s="848">
        <v>100000</v>
      </c>
      <c r="E46" s="100">
        <f t="shared" si="2"/>
        <v>100000</v>
      </c>
      <c r="F46" s="69"/>
      <c r="G46" s="106"/>
      <c r="I46" s="106"/>
      <c r="J46" s="106"/>
      <c r="K46" s="136">
        <f t="shared" si="0"/>
        <v>0</v>
      </c>
      <c r="L46" s="21" t="s">
        <v>899</v>
      </c>
      <c r="M46" s="72"/>
      <c r="N46" s="72"/>
    </row>
    <row r="47" spans="1:14" ht="14.25">
      <c r="A47" s="75">
        <f t="shared" si="1"/>
        <v>18</v>
      </c>
      <c r="B47" s="846" t="s">
        <v>880</v>
      </c>
      <c r="C47" s="847" t="s">
        <v>881</v>
      </c>
      <c r="D47" s="848">
        <v>0</v>
      </c>
      <c r="E47" s="100">
        <f t="shared" si="2"/>
        <v>0</v>
      </c>
      <c r="F47" s="69"/>
      <c r="G47" s="136"/>
      <c r="I47" s="136"/>
      <c r="J47" s="136"/>
      <c r="K47" s="136">
        <f t="shared" ref="K47:K54" si="3">+G47+I47+J47</f>
        <v>0</v>
      </c>
      <c r="L47" s="21"/>
      <c r="M47" s="72"/>
      <c r="N47" s="72"/>
    </row>
    <row r="48" spans="1:14" ht="14.25">
      <c r="A48" s="75">
        <f t="shared" si="1"/>
        <v>19</v>
      </c>
      <c r="B48" s="846" t="s">
        <v>882</v>
      </c>
      <c r="C48" s="847" t="s">
        <v>883</v>
      </c>
      <c r="D48" s="848">
        <v>-172412282.86000001</v>
      </c>
      <c r="E48" s="100">
        <f t="shared" si="2"/>
        <v>-172412282.86000001</v>
      </c>
      <c r="F48" s="69"/>
      <c r="G48" s="136"/>
      <c r="I48" s="136"/>
      <c r="J48" s="136"/>
      <c r="K48" s="136">
        <f t="shared" si="3"/>
        <v>0</v>
      </c>
      <c r="L48" s="21" t="s">
        <v>900</v>
      </c>
      <c r="M48" s="72"/>
      <c r="N48" s="72"/>
    </row>
    <row r="49" spans="1:15" ht="14.25">
      <c r="A49" s="75">
        <f t="shared" si="1"/>
        <v>20</v>
      </c>
      <c r="B49" s="846" t="s">
        <v>884</v>
      </c>
      <c r="C49" s="847" t="s">
        <v>885</v>
      </c>
      <c r="D49" s="848">
        <v>0</v>
      </c>
      <c r="E49" s="100">
        <f t="shared" si="2"/>
        <v>0</v>
      </c>
      <c r="F49" s="69"/>
      <c r="G49" s="136"/>
      <c r="I49" s="136"/>
      <c r="J49" s="136"/>
      <c r="K49" s="136">
        <f t="shared" si="3"/>
        <v>0</v>
      </c>
      <c r="L49" s="5"/>
      <c r="M49" s="72"/>
      <c r="N49" s="72"/>
    </row>
    <row r="50" spans="1:15" ht="14.25">
      <c r="A50" s="75">
        <f t="shared" si="1"/>
        <v>21</v>
      </c>
      <c r="B50" s="849">
        <v>1650017</v>
      </c>
      <c r="C50" s="847" t="s">
        <v>886</v>
      </c>
      <c r="D50" s="848">
        <v>0</v>
      </c>
      <c r="E50" s="100">
        <f t="shared" si="2"/>
        <v>0</v>
      </c>
      <c r="F50" s="69"/>
      <c r="G50" s="136"/>
      <c r="I50" s="136"/>
      <c r="J50" s="136"/>
      <c r="K50" s="136">
        <f t="shared" si="3"/>
        <v>0</v>
      </c>
      <c r="L50" s="5"/>
      <c r="M50" s="72"/>
      <c r="N50" s="72"/>
    </row>
    <row r="51" spans="1:15" ht="14.25">
      <c r="A51" s="75">
        <f t="shared" si="1"/>
        <v>22</v>
      </c>
      <c r="B51" s="1233" t="s">
        <v>887</v>
      </c>
      <c r="C51" s="847" t="s">
        <v>888</v>
      </c>
      <c r="D51" s="848">
        <v>0</v>
      </c>
      <c r="E51" s="100">
        <f t="shared" si="2"/>
        <v>0</v>
      </c>
      <c r="F51" s="69"/>
      <c r="G51" s="136"/>
      <c r="I51" s="136"/>
      <c r="J51" s="136"/>
      <c r="K51" s="136">
        <f t="shared" si="3"/>
        <v>0</v>
      </c>
      <c r="L51" s="5"/>
      <c r="M51" s="72"/>
      <c r="N51" s="72"/>
    </row>
    <row r="52" spans="1:15" ht="14.25">
      <c r="A52" s="75">
        <f t="shared" si="1"/>
        <v>23</v>
      </c>
      <c r="B52" s="1233" t="s">
        <v>889</v>
      </c>
      <c r="C52" s="847" t="s">
        <v>890</v>
      </c>
      <c r="D52" s="848">
        <v>0</v>
      </c>
      <c r="E52" s="100">
        <f t="shared" si="2"/>
        <v>0</v>
      </c>
      <c r="F52" s="69"/>
      <c r="G52" s="136"/>
      <c r="I52" s="136"/>
      <c r="J52" s="136"/>
      <c r="K52" s="136">
        <f t="shared" si="3"/>
        <v>0</v>
      </c>
      <c r="L52" s="5"/>
      <c r="M52" s="72"/>
      <c r="N52" s="72"/>
    </row>
    <row r="53" spans="1:15" ht="14.25">
      <c r="A53" s="75">
        <f t="shared" ref="A53:A59" si="4">A52+1</f>
        <v>24</v>
      </c>
      <c r="B53" s="849">
        <v>1650021</v>
      </c>
      <c r="C53" s="847" t="s">
        <v>891</v>
      </c>
      <c r="D53" s="848">
        <v>1983714.375</v>
      </c>
      <c r="E53" s="100">
        <f t="shared" si="2"/>
        <v>0</v>
      </c>
      <c r="F53" s="69"/>
      <c r="G53" s="136"/>
      <c r="I53" s="106">
        <f>D53</f>
        <v>1983714.375</v>
      </c>
      <c r="J53" s="136"/>
      <c r="K53" s="136">
        <f t="shared" si="3"/>
        <v>1983714.375</v>
      </c>
      <c r="L53" s="5" t="s">
        <v>901</v>
      </c>
      <c r="M53" s="72"/>
      <c r="N53" s="72"/>
    </row>
    <row r="54" spans="1:15" ht="14.25">
      <c r="A54" s="75">
        <f t="shared" si="4"/>
        <v>25</v>
      </c>
      <c r="B54" s="1233" t="s">
        <v>892</v>
      </c>
      <c r="C54" s="847" t="s">
        <v>893</v>
      </c>
      <c r="D54" s="848">
        <v>422448.26</v>
      </c>
      <c r="E54" s="100">
        <f t="shared" si="2"/>
        <v>422448.26</v>
      </c>
      <c r="F54" s="69"/>
      <c r="G54" s="106"/>
      <c r="I54" s="106"/>
      <c r="J54" s="106"/>
      <c r="K54" s="136">
        <f t="shared" si="3"/>
        <v>0</v>
      </c>
      <c r="L54" s="5"/>
      <c r="M54" s="72"/>
      <c r="N54" s="72"/>
    </row>
    <row r="55" spans="1:15" ht="14.25">
      <c r="A55" s="75">
        <f t="shared" si="4"/>
        <v>26</v>
      </c>
      <c r="B55" s="1233">
        <v>1650030</v>
      </c>
      <c r="C55" s="847" t="s">
        <v>894</v>
      </c>
      <c r="D55" s="848">
        <v>1354207.01</v>
      </c>
      <c r="E55" s="100">
        <f t="shared" si="2"/>
        <v>1354207.01</v>
      </c>
      <c r="F55" s="69"/>
      <c r="G55" s="106"/>
      <c r="I55" s="106"/>
      <c r="J55" s="106"/>
      <c r="K55" s="136">
        <f>J55</f>
        <v>0</v>
      </c>
      <c r="L55" s="5" t="s">
        <v>902</v>
      </c>
      <c r="M55" s="72"/>
      <c r="N55" s="72"/>
    </row>
    <row r="56" spans="1:15" ht="14.25">
      <c r="A56" s="75">
        <f t="shared" si="4"/>
        <v>27</v>
      </c>
      <c r="B56" s="1233">
        <v>1650035</v>
      </c>
      <c r="C56" s="847" t="s">
        <v>895</v>
      </c>
      <c r="D56" s="848">
        <v>80287624.780000001</v>
      </c>
      <c r="E56" s="100">
        <f t="shared" si="2"/>
        <v>0</v>
      </c>
      <c r="F56" s="69"/>
      <c r="G56" s="106"/>
      <c r="I56" s="106"/>
      <c r="J56" s="106">
        <f>D56</f>
        <v>80287624.780000001</v>
      </c>
      <c r="K56" s="136">
        <f>J56</f>
        <v>80287624.780000001</v>
      </c>
      <c r="L56" s="5" t="s">
        <v>898</v>
      </c>
      <c r="M56" s="72"/>
      <c r="N56" s="72"/>
    </row>
    <row r="57" spans="1:15" ht="14.25">
      <c r="A57" s="75">
        <f t="shared" si="4"/>
        <v>28</v>
      </c>
      <c r="B57" s="849">
        <v>1650036</v>
      </c>
      <c r="C57" s="847" t="s">
        <v>896</v>
      </c>
      <c r="D57" s="848">
        <v>0</v>
      </c>
      <c r="E57" s="100">
        <f t="shared" si="2"/>
        <v>0</v>
      </c>
      <c r="F57" s="69"/>
      <c r="G57" s="106"/>
      <c r="I57" s="106"/>
      <c r="J57" s="106"/>
      <c r="K57" s="136"/>
      <c r="L57" s="5"/>
      <c r="M57" s="72"/>
      <c r="N57" s="72"/>
    </row>
    <row r="58" spans="1:15" ht="14.25">
      <c r="A58" s="75">
        <f t="shared" si="4"/>
        <v>29</v>
      </c>
      <c r="B58" s="1233">
        <v>1650037</v>
      </c>
      <c r="C58" s="847" t="s">
        <v>897</v>
      </c>
      <c r="D58" s="848">
        <v>-80287624.780000001</v>
      </c>
      <c r="E58" s="100">
        <f t="shared" si="2"/>
        <v>-80287624.780000001</v>
      </c>
      <c r="F58" s="69"/>
      <c r="G58" s="106">
        <v>0</v>
      </c>
      <c r="I58" s="106"/>
      <c r="J58" s="106"/>
      <c r="K58" s="136">
        <f>G58</f>
        <v>0</v>
      </c>
      <c r="L58" s="21" t="s">
        <v>900</v>
      </c>
      <c r="M58" s="72"/>
      <c r="N58" s="72"/>
    </row>
    <row r="59" spans="1:15" ht="15" thickBot="1">
      <c r="A59" s="75">
        <f t="shared" si="4"/>
        <v>30</v>
      </c>
      <c r="B59" s="849"/>
      <c r="C59" s="847"/>
      <c r="D59" s="848"/>
      <c r="E59" s="136"/>
      <c r="F59" s="69"/>
      <c r="G59" s="106"/>
      <c r="I59" s="106"/>
      <c r="J59" s="106"/>
      <c r="K59" s="136"/>
      <c r="L59" s="21" t="s">
        <v>114</v>
      </c>
      <c r="M59" s="72"/>
      <c r="N59" s="72"/>
    </row>
    <row r="60" spans="1:15" ht="14.25">
      <c r="A60" s="75"/>
      <c r="B60" s="139"/>
      <c r="C60" s="33" t="s">
        <v>503</v>
      </c>
      <c r="D60" s="850">
        <f>SUM(D39:D59)</f>
        <v>6594845.6350000054</v>
      </c>
      <c r="E60" s="220">
        <f>SUM(E39:E59)</f>
        <v>-250574135.56000003</v>
      </c>
      <c r="F60" s="69"/>
      <c r="G60" s="144">
        <f>SUM(G39:G59)</f>
        <v>0</v>
      </c>
      <c r="I60" s="144">
        <f>SUM(I39:I59)</f>
        <v>4469073.5549999997</v>
      </c>
      <c r="J60" s="144">
        <f>SUM(J39:J59)</f>
        <v>252699907.64000002</v>
      </c>
      <c r="K60" s="144">
        <f>SUM(K39:K59)</f>
        <v>257168981.19500002</v>
      </c>
      <c r="L60"/>
      <c r="M60" s="72"/>
      <c r="N60" s="72"/>
    </row>
    <row r="61" spans="1:15">
      <c r="A61" s="75"/>
      <c r="K61" s="145"/>
      <c r="L61"/>
      <c r="M61" s="72"/>
      <c r="N61" s="72"/>
    </row>
    <row r="62" spans="1:15">
      <c r="A62" s="75"/>
      <c r="B62"/>
      <c r="C62"/>
      <c r="D62"/>
      <c r="E62"/>
      <c r="F62"/>
      <c r="G62"/>
      <c r="H62"/>
      <c r="I62"/>
      <c r="J62"/>
      <c r="K62"/>
      <c r="L62"/>
      <c r="M62" s="21"/>
      <c r="N62" s="21"/>
      <c r="O62"/>
    </row>
    <row r="63" spans="1:15" ht="18">
      <c r="A63" s="75"/>
      <c r="B63" s="1682" t="str">
        <f>"Prepayments Account 165 - Balance @ 12/31/ "&amp;D65&amp;""</f>
        <v>Prepayments Account 165 - Balance @ 12/31/ 2020</v>
      </c>
      <c r="C63" s="1682"/>
      <c r="D63" s="1682"/>
      <c r="E63" s="1682"/>
      <c r="F63" s="1682"/>
      <c r="G63" s="1682"/>
      <c r="H63" s="1682"/>
      <c r="I63" s="1682"/>
      <c r="J63" s="1682"/>
      <c r="K63" s="81"/>
      <c r="L63" s="82"/>
      <c r="M63" s="72"/>
      <c r="N63" s="21"/>
      <c r="O63"/>
    </row>
    <row r="64" spans="1:15">
      <c r="A64" s="75"/>
      <c r="B64" s="233"/>
      <c r="C64" s="234"/>
      <c r="D64" s="235"/>
      <c r="E64" s="10"/>
      <c r="F64" s="69"/>
      <c r="G64" s="10" t="s">
        <v>87</v>
      </c>
      <c r="I64" s="8" t="s">
        <v>115</v>
      </c>
      <c r="J64" s="8" t="s">
        <v>115</v>
      </c>
      <c r="K64" s="8" t="s">
        <v>179</v>
      </c>
      <c r="L64"/>
      <c r="M64" s="72"/>
      <c r="N64" s="21"/>
      <c r="O64"/>
    </row>
    <row r="65" spans="1:15">
      <c r="A65" s="75"/>
      <c r="B65" s="233"/>
      <c r="C65" s="236"/>
      <c r="D65" s="8" t="str">
        <f>""&amp;TCOS!L4-1</f>
        <v>2020</v>
      </c>
      <c r="E65" s="8" t="s">
        <v>530</v>
      </c>
      <c r="F65" s="69"/>
      <c r="G65" s="8" t="s">
        <v>115</v>
      </c>
      <c r="I65" s="8" t="s">
        <v>523</v>
      </c>
      <c r="J65" s="8" t="s">
        <v>161</v>
      </c>
      <c r="K65" s="8" t="s">
        <v>180</v>
      </c>
      <c r="L65"/>
      <c r="M65" s="72"/>
      <c r="N65" s="21"/>
      <c r="O65"/>
    </row>
    <row r="66" spans="1:15">
      <c r="A66" s="75">
        <f>A59+1</f>
        <v>31</v>
      </c>
      <c r="B66" s="13" t="s">
        <v>90</v>
      </c>
      <c r="C66" s="13" t="s">
        <v>167</v>
      </c>
      <c r="D66" s="13" t="s">
        <v>88</v>
      </c>
      <c r="E66" s="13" t="s">
        <v>502</v>
      </c>
      <c r="F66" s="69"/>
      <c r="G66" s="13" t="s">
        <v>524</v>
      </c>
      <c r="I66" s="13" t="s">
        <v>524</v>
      </c>
      <c r="J66" s="13" t="s">
        <v>524</v>
      </c>
      <c r="K66" s="13" t="s">
        <v>525</v>
      </c>
      <c r="L66" s="13" t="s">
        <v>39</v>
      </c>
      <c r="M66" s="72"/>
      <c r="N66" s="21"/>
      <c r="O66"/>
    </row>
    <row r="67" spans="1:15">
      <c r="A67" s="75"/>
      <c r="B67" s="139"/>
      <c r="C67" s="141"/>
      <c r="D67" s="141"/>
      <c r="E67" s="141"/>
      <c r="F67" s="69"/>
      <c r="G67" s="141"/>
      <c r="I67" s="141"/>
      <c r="J67" s="141"/>
      <c r="K67" s="141"/>
      <c r="L67"/>
      <c r="M67" s="72"/>
      <c r="N67" s="21"/>
      <c r="O67"/>
    </row>
    <row r="68" spans="1:15" ht="14.25">
      <c r="A68" s="75">
        <f>+A66+1</f>
        <v>32</v>
      </c>
      <c r="B68" s="846" t="s">
        <v>865</v>
      </c>
      <c r="C68" s="847" t="s">
        <v>866</v>
      </c>
      <c r="D68" s="848">
        <v>1615165.8599999999</v>
      </c>
      <c r="E68" s="100">
        <f>+D68-K68</f>
        <v>0</v>
      </c>
      <c r="F68" s="69"/>
      <c r="G68" s="106"/>
      <c r="I68" s="106">
        <f>D68</f>
        <v>1615165.8599999999</v>
      </c>
      <c r="J68" s="106"/>
      <c r="K68" s="106">
        <f t="shared" ref="K68:K83" si="5">+G68+I68+J68</f>
        <v>1615165.8599999999</v>
      </c>
      <c r="L68" t="s">
        <v>531</v>
      </c>
      <c r="M68" s="72"/>
      <c r="N68" s="21"/>
      <c r="O68"/>
    </row>
    <row r="69" spans="1:15" ht="14.25">
      <c r="A69" s="75">
        <f t="shared" ref="A69:A88" si="6">+A68+1</f>
        <v>33</v>
      </c>
      <c r="B69" s="846" t="s">
        <v>867</v>
      </c>
      <c r="C69" s="847" t="s">
        <v>868</v>
      </c>
      <c r="D69" s="848">
        <v>0</v>
      </c>
      <c r="E69" s="100">
        <f t="shared" ref="E69:E87" si="7">+D69-K69</f>
        <v>0</v>
      </c>
      <c r="F69" s="69"/>
      <c r="G69" s="106"/>
      <c r="I69" s="106"/>
      <c r="J69" s="106"/>
      <c r="K69" s="106">
        <f t="shared" si="5"/>
        <v>0</v>
      </c>
      <c r="L69" s="21" t="s">
        <v>114</v>
      </c>
      <c r="M69" s="72"/>
      <c r="N69" s="21"/>
      <c r="O69"/>
    </row>
    <row r="70" spans="1:15" ht="14.25">
      <c r="A70" s="75">
        <f t="shared" si="6"/>
        <v>34</v>
      </c>
      <c r="B70" s="846" t="s">
        <v>869</v>
      </c>
      <c r="C70" s="847" t="s">
        <v>870</v>
      </c>
      <c r="D70" s="848">
        <v>0</v>
      </c>
      <c r="E70" s="100">
        <f t="shared" si="7"/>
        <v>0</v>
      </c>
      <c r="F70" s="69"/>
      <c r="G70" s="106"/>
      <c r="I70" s="106"/>
      <c r="J70" s="106"/>
      <c r="K70" s="106">
        <f t="shared" si="5"/>
        <v>0</v>
      </c>
      <c r="L70" s="21"/>
      <c r="M70" s="72"/>
      <c r="N70" s="21"/>
      <c r="O70"/>
    </row>
    <row r="71" spans="1:15" ht="14.25">
      <c r="A71" s="75">
        <f t="shared" si="6"/>
        <v>35</v>
      </c>
      <c r="B71" s="846" t="s">
        <v>871</v>
      </c>
      <c r="C71" s="847" t="s">
        <v>872</v>
      </c>
      <c r="D71" s="848">
        <v>0</v>
      </c>
      <c r="E71" s="100">
        <f t="shared" si="7"/>
        <v>0</v>
      </c>
      <c r="F71" s="69"/>
      <c r="G71" s="106"/>
      <c r="I71" s="106"/>
      <c r="J71" s="106"/>
      <c r="K71" s="106">
        <f t="shared" si="5"/>
        <v>0</v>
      </c>
      <c r="L71" s="21"/>
      <c r="M71" s="72"/>
      <c r="N71" s="21"/>
      <c r="O71"/>
    </row>
    <row r="72" spans="1:15" ht="14.25">
      <c r="A72" s="75">
        <f t="shared" si="6"/>
        <v>36</v>
      </c>
      <c r="B72" s="846" t="s">
        <v>873</v>
      </c>
      <c r="C72" s="847" t="s">
        <v>874</v>
      </c>
      <c r="D72" s="848">
        <v>787909.79</v>
      </c>
      <c r="E72" s="100">
        <f t="shared" si="7"/>
        <v>787909.79</v>
      </c>
      <c r="F72" s="69"/>
      <c r="G72" s="136"/>
      <c r="I72" s="136"/>
      <c r="J72" s="136"/>
      <c r="K72" s="136">
        <f t="shared" si="5"/>
        <v>0</v>
      </c>
      <c r="L72" s="5" t="s">
        <v>438</v>
      </c>
      <c r="M72" s="72"/>
      <c r="N72" s="21"/>
      <c r="O72"/>
    </row>
    <row r="73" spans="1:15" ht="14.25">
      <c r="A73" s="75">
        <f t="shared" si="6"/>
        <v>37</v>
      </c>
      <c r="B73" s="846" t="s">
        <v>875</v>
      </c>
      <c r="C73" s="847" t="s">
        <v>876</v>
      </c>
      <c r="D73" s="848">
        <v>808449.3</v>
      </c>
      <c r="E73" s="100">
        <f t="shared" si="7"/>
        <v>808449.3</v>
      </c>
      <c r="F73" s="69"/>
      <c r="G73" s="106"/>
      <c r="I73" s="106"/>
      <c r="J73" s="106"/>
      <c r="K73" s="136">
        <f t="shared" si="5"/>
        <v>0</v>
      </c>
      <c r="L73" s="21" t="s">
        <v>594</v>
      </c>
      <c r="M73" s="72"/>
      <c r="N73" s="21"/>
      <c r="O73"/>
    </row>
    <row r="74" spans="1:15" ht="14.25">
      <c r="A74" s="75">
        <f t="shared" si="6"/>
        <v>38</v>
      </c>
      <c r="B74" s="846" t="s">
        <v>877</v>
      </c>
      <c r="C74" s="847" t="s">
        <v>878</v>
      </c>
      <c r="D74" s="848">
        <v>182926875.83000001</v>
      </c>
      <c r="E74" s="100">
        <f t="shared" si="7"/>
        <v>0</v>
      </c>
      <c r="F74" s="69"/>
      <c r="G74" s="106"/>
      <c r="I74" s="106"/>
      <c r="J74" s="106">
        <f>D74</f>
        <v>182926875.83000001</v>
      </c>
      <c r="K74" s="136">
        <f t="shared" si="5"/>
        <v>182926875.83000001</v>
      </c>
      <c r="L74" s="21" t="s">
        <v>898</v>
      </c>
      <c r="M74" s="72"/>
      <c r="N74" s="21"/>
      <c r="O74"/>
    </row>
    <row r="75" spans="1:15" ht="14.25">
      <c r="A75" s="75">
        <f t="shared" si="6"/>
        <v>39</v>
      </c>
      <c r="B75" s="1233">
        <v>165001220</v>
      </c>
      <c r="C75" s="847" t="s">
        <v>879</v>
      </c>
      <c r="D75" s="848">
        <v>163031</v>
      </c>
      <c r="E75" s="100">
        <f t="shared" si="7"/>
        <v>163031</v>
      </c>
      <c r="F75" s="69"/>
      <c r="G75" s="106"/>
      <c r="I75" s="106"/>
      <c r="J75" s="106"/>
      <c r="K75" s="136">
        <f t="shared" si="5"/>
        <v>0</v>
      </c>
      <c r="L75" s="21" t="s">
        <v>899</v>
      </c>
      <c r="M75" s="72"/>
      <c r="N75" s="21"/>
      <c r="O75"/>
    </row>
    <row r="76" spans="1:15" ht="14.25">
      <c r="A76" s="75">
        <f t="shared" si="6"/>
        <v>40</v>
      </c>
      <c r="B76" s="846" t="s">
        <v>880</v>
      </c>
      <c r="C76" s="847" t="s">
        <v>881</v>
      </c>
      <c r="D76" s="848">
        <v>0</v>
      </c>
      <c r="E76" s="100">
        <f t="shared" si="7"/>
        <v>0</v>
      </c>
      <c r="F76" s="69"/>
      <c r="G76" s="136"/>
      <c r="I76" s="136"/>
      <c r="J76" s="136"/>
      <c r="K76" s="136">
        <f t="shared" si="5"/>
        <v>0</v>
      </c>
      <c r="L76" s="21"/>
      <c r="M76" s="72"/>
      <c r="N76" s="21"/>
      <c r="O76"/>
    </row>
    <row r="77" spans="1:15" ht="14.25">
      <c r="A77" s="75">
        <f t="shared" si="6"/>
        <v>41</v>
      </c>
      <c r="B77" s="846" t="s">
        <v>882</v>
      </c>
      <c r="C77" s="847" t="s">
        <v>883</v>
      </c>
      <c r="D77" s="848">
        <v>-182926875.83000001</v>
      </c>
      <c r="E77" s="100">
        <f t="shared" si="7"/>
        <v>-182926875.83000001</v>
      </c>
      <c r="F77" s="69"/>
      <c r="G77" s="136"/>
      <c r="I77" s="136"/>
      <c r="J77" s="136"/>
      <c r="K77" s="136">
        <f t="shared" si="5"/>
        <v>0</v>
      </c>
      <c r="L77" s="21" t="s">
        <v>900</v>
      </c>
      <c r="M77" s="72"/>
      <c r="N77" s="21"/>
      <c r="O77"/>
    </row>
    <row r="78" spans="1:15" ht="14.25">
      <c r="A78" s="75">
        <f t="shared" si="6"/>
        <v>42</v>
      </c>
      <c r="B78" s="846" t="s">
        <v>884</v>
      </c>
      <c r="C78" s="847" t="s">
        <v>885</v>
      </c>
      <c r="D78" s="848">
        <v>0</v>
      </c>
      <c r="E78" s="100">
        <f t="shared" si="7"/>
        <v>0</v>
      </c>
      <c r="F78" s="69"/>
      <c r="G78" s="136"/>
      <c r="I78" s="136"/>
      <c r="J78" s="136"/>
      <c r="K78" s="136">
        <f t="shared" si="5"/>
        <v>0</v>
      </c>
      <c r="L78" s="5"/>
      <c r="M78" s="72"/>
      <c r="N78" s="21"/>
      <c r="O78"/>
    </row>
    <row r="79" spans="1:15" ht="14.25">
      <c r="A79" s="75">
        <f t="shared" si="6"/>
        <v>43</v>
      </c>
      <c r="B79" s="849">
        <v>1650017</v>
      </c>
      <c r="C79" s="847" t="s">
        <v>886</v>
      </c>
      <c r="D79" s="848">
        <v>0</v>
      </c>
      <c r="E79" s="100">
        <f t="shared" si="7"/>
        <v>0</v>
      </c>
      <c r="F79" s="69"/>
      <c r="G79" s="136"/>
      <c r="I79" s="136"/>
      <c r="J79" s="136"/>
      <c r="K79" s="136">
        <f t="shared" si="5"/>
        <v>0</v>
      </c>
      <c r="L79" s="5"/>
      <c r="M79" s="72"/>
      <c r="N79" s="21"/>
      <c r="O79"/>
    </row>
    <row r="80" spans="1:15" ht="14.25">
      <c r="A80" s="75">
        <f t="shared" si="6"/>
        <v>44</v>
      </c>
      <c r="B80" s="1233" t="s">
        <v>887</v>
      </c>
      <c r="C80" s="847" t="s">
        <v>888</v>
      </c>
      <c r="D80" s="848">
        <v>0</v>
      </c>
      <c r="E80" s="100">
        <f t="shared" si="7"/>
        <v>0</v>
      </c>
      <c r="F80" s="69"/>
      <c r="G80" s="136"/>
      <c r="I80" s="136"/>
      <c r="J80" s="136"/>
      <c r="K80" s="136">
        <f t="shared" si="5"/>
        <v>0</v>
      </c>
      <c r="L80" s="5"/>
      <c r="M80" s="72"/>
      <c r="N80" s="21"/>
      <c r="O80"/>
    </row>
    <row r="81" spans="1:15" ht="14.25">
      <c r="A81" s="75">
        <f t="shared" si="6"/>
        <v>45</v>
      </c>
      <c r="B81" s="1233" t="s">
        <v>889</v>
      </c>
      <c r="C81" s="847" t="s">
        <v>890</v>
      </c>
      <c r="D81" s="848">
        <v>0</v>
      </c>
      <c r="E81" s="100">
        <f t="shared" si="7"/>
        <v>0</v>
      </c>
      <c r="F81" s="69"/>
      <c r="G81" s="136"/>
      <c r="I81" s="136"/>
      <c r="J81" s="136"/>
      <c r="K81" s="136">
        <f t="shared" si="5"/>
        <v>0</v>
      </c>
      <c r="L81" s="5"/>
      <c r="M81" s="72"/>
      <c r="N81" s="21"/>
      <c r="O81"/>
    </row>
    <row r="82" spans="1:15" ht="14.25">
      <c r="A82" s="75">
        <f t="shared" si="6"/>
        <v>46</v>
      </c>
      <c r="B82" s="849">
        <v>1650021</v>
      </c>
      <c r="C82" s="847" t="s">
        <v>891</v>
      </c>
      <c r="D82" s="848">
        <v>1997105.095</v>
      </c>
      <c r="E82" s="100">
        <f t="shared" si="7"/>
        <v>0</v>
      </c>
      <c r="F82" s="69"/>
      <c r="G82" s="136"/>
      <c r="I82" s="136">
        <f>D82</f>
        <v>1997105.095</v>
      </c>
      <c r="J82" s="136"/>
      <c r="K82" s="136">
        <f t="shared" si="5"/>
        <v>1997105.095</v>
      </c>
      <c r="L82" s="5" t="s">
        <v>901</v>
      </c>
      <c r="M82" s="72"/>
      <c r="N82" s="21"/>
      <c r="O82"/>
    </row>
    <row r="83" spans="1:15" ht="14.25">
      <c r="A83" s="75">
        <f t="shared" si="6"/>
        <v>47</v>
      </c>
      <c r="B83" s="1233" t="s">
        <v>892</v>
      </c>
      <c r="C83" s="847" t="s">
        <v>893</v>
      </c>
      <c r="D83" s="848">
        <v>387102.84</v>
      </c>
      <c r="E83" s="100">
        <f t="shared" si="7"/>
        <v>387102.84</v>
      </c>
      <c r="F83" s="69"/>
      <c r="G83" s="106"/>
      <c r="I83" s="106"/>
      <c r="J83" s="106"/>
      <c r="K83" s="136">
        <f t="shared" si="5"/>
        <v>0</v>
      </c>
      <c r="L83" s="5"/>
      <c r="M83" s="72"/>
      <c r="N83" s="21"/>
      <c r="O83"/>
    </row>
    <row r="84" spans="1:15" ht="14.25">
      <c r="A84" s="75">
        <f t="shared" si="6"/>
        <v>48</v>
      </c>
      <c r="B84" s="1233">
        <v>1650030</v>
      </c>
      <c r="C84" s="847" t="s">
        <v>894</v>
      </c>
      <c r="D84" s="848">
        <v>1594185.51</v>
      </c>
      <c r="E84" s="100">
        <f t="shared" si="7"/>
        <v>1594185.51</v>
      </c>
      <c r="F84" s="69"/>
      <c r="G84" s="106"/>
      <c r="I84" s="106"/>
      <c r="J84" s="106"/>
      <c r="K84" s="136">
        <f>J84</f>
        <v>0</v>
      </c>
      <c r="L84" s="5" t="s">
        <v>902</v>
      </c>
      <c r="M84" s="72"/>
      <c r="N84" s="21"/>
      <c r="O84"/>
    </row>
    <row r="85" spans="1:15" ht="14.25">
      <c r="A85" s="75">
        <f t="shared" si="6"/>
        <v>49</v>
      </c>
      <c r="B85" s="1233">
        <v>1650035</v>
      </c>
      <c r="C85" s="847" t="s">
        <v>895</v>
      </c>
      <c r="D85" s="848">
        <v>67321726.510000005</v>
      </c>
      <c r="E85" s="100">
        <f t="shared" si="7"/>
        <v>0</v>
      </c>
      <c r="F85" s="69"/>
      <c r="G85" s="106"/>
      <c r="I85" s="106"/>
      <c r="J85" s="106">
        <f>D85</f>
        <v>67321726.510000005</v>
      </c>
      <c r="K85" s="136">
        <f>J85</f>
        <v>67321726.510000005</v>
      </c>
      <c r="L85" s="5" t="s">
        <v>898</v>
      </c>
      <c r="M85" s="72"/>
      <c r="N85" s="21"/>
      <c r="O85"/>
    </row>
    <row r="86" spans="1:15" ht="14.25">
      <c r="A86" s="75">
        <f t="shared" si="6"/>
        <v>50</v>
      </c>
      <c r="B86" s="849">
        <v>1650036</v>
      </c>
      <c r="C86" s="847" t="s">
        <v>896</v>
      </c>
      <c r="D86" s="848">
        <v>0</v>
      </c>
      <c r="E86" s="100">
        <f t="shared" si="7"/>
        <v>0</v>
      </c>
      <c r="F86" s="69"/>
      <c r="G86" s="106"/>
      <c r="I86" s="106"/>
      <c r="J86" s="106"/>
      <c r="K86" s="136"/>
      <c r="L86" s="5"/>
      <c r="M86" s="72"/>
      <c r="N86" s="21"/>
      <c r="O86"/>
    </row>
    <row r="87" spans="1:15" ht="14.25">
      <c r="A87" s="75">
        <f t="shared" si="6"/>
        <v>51</v>
      </c>
      <c r="B87" s="1233">
        <v>1650037</v>
      </c>
      <c r="C87" s="847" t="s">
        <v>897</v>
      </c>
      <c r="D87" s="848">
        <v>-67321726.510000005</v>
      </c>
      <c r="E87" s="100">
        <f t="shared" si="7"/>
        <v>-67321726.510000005</v>
      </c>
      <c r="F87" s="69"/>
      <c r="G87" s="106">
        <v>0</v>
      </c>
      <c r="I87" s="106"/>
      <c r="J87" s="106"/>
      <c r="K87" s="136">
        <f>G87</f>
        <v>0</v>
      </c>
      <c r="L87" s="21" t="s">
        <v>900</v>
      </c>
      <c r="M87" s="72"/>
      <c r="N87" s="21"/>
      <c r="O87"/>
    </row>
    <row r="88" spans="1:15" ht="14.25">
      <c r="A88" s="75">
        <f t="shared" si="6"/>
        <v>52</v>
      </c>
      <c r="B88" s="849"/>
      <c r="C88" s="847"/>
      <c r="D88" s="848"/>
      <c r="E88" s="136"/>
      <c r="F88" s="69"/>
      <c r="G88" s="106"/>
      <c r="I88" s="106"/>
      <c r="J88" s="106"/>
      <c r="K88" s="136"/>
      <c r="L88" s="21" t="s">
        <v>114</v>
      </c>
      <c r="M88" s="72"/>
      <c r="N88" s="21"/>
      <c r="O88"/>
    </row>
    <row r="89" spans="1:15" ht="13.5" thickBot="1">
      <c r="A89" s="75"/>
      <c r="B89" s="27"/>
      <c r="C89" s="27"/>
      <c r="D89" s="136"/>
      <c r="E89" s="100"/>
      <c r="F89" s="69"/>
      <c r="G89" s="106"/>
      <c r="I89" s="106"/>
      <c r="J89" s="106"/>
      <c r="K89" s="106"/>
      <c r="L89"/>
      <c r="M89" s="72"/>
      <c r="N89" s="21"/>
      <c r="O89"/>
    </row>
    <row r="90" spans="1:15" ht="14.25">
      <c r="A90" s="75"/>
      <c r="B90" s="139"/>
      <c r="C90" s="33" t="s">
        <v>383</v>
      </c>
      <c r="D90" s="850">
        <f>IF(SUM(D68:D89)=0,"",SUM(D68:D89))</f>
        <v>7352949.3949999809</v>
      </c>
      <c r="E90" s="220">
        <f>IF(SUM(E68:E89)=0,"",SUM(E68:E89))</f>
        <v>-246507923.90000004</v>
      </c>
      <c r="F90" s="69"/>
      <c r="G90" s="144" t="str">
        <f>IF(SUM(G68:G89)=0,"",SUM(G68:G89))</f>
        <v/>
      </c>
      <c r="I90" s="144">
        <f>IF(SUM(I68:I89)=0,"",SUM(I68:I89))</f>
        <v>3612270.9550000001</v>
      </c>
      <c r="J90" s="144">
        <f>IF(SUM(J68:J89)=0,"",SUM(J68:J89))</f>
        <v>250248602.34000003</v>
      </c>
      <c r="K90" s="144">
        <f>IF(SUM(K68:K89)=0,"",SUM(K68:K89))</f>
        <v>253860873.29500002</v>
      </c>
      <c r="L90"/>
      <c r="M90" s="72"/>
      <c r="N90" s="21"/>
      <c r="O90"/>
    </row>
    <row r="91" spans="1:15">
      <c r="A91" s="75"/>
      <c r="B91" s="75"/>
      <c r="C91"/>
      <c r="D91"/>
      <c r="E91"/>
      <c r="F91"/>
      <c r="G91"/>
      <c r="H91"/>
      <c r="I91"/>
      <c r="J91"/>
      <c r="K91"/>
      <c r="L91"/>
      <c r="M91" s="21"/>
      <c r="N91" s="21"/>
      <c r="O91"/>
    </row>
    <row r="92" spans="1:15" ht="18.75" customHeight="1">
      <c r="A92" s="75" t="s">
        <v>626</v>
      </c>
      <c r="B92" s="1681" t="s">
        <v>820</v>
      </c>
      <c r="C92" s="1681"/>
      <c r="D92" s="1681"/>
      <c r="E92" s="1681"/>
      <c r="F92" s="1681"/>
      <c r="G92" s="1681"/>
      <c r="H92" s="1681"/>
      <c r="I92" s="1681"/>
      <c r="J92" s="1681"/>
      <c r="K92" s="1681"/>
      <c r="L92" s="1681"/>
      <c r="M92" s="21"/>
      <c r="N92" s="21"/>
      <c r="O92"/>
    </row>
    <row r="93" spans="1:15" ht="18.75" customHeight="1">
      <c r="A93" s="5"/>
      <c r="B93" s="1681"/>
      <c r="C93" s="1681"/>
      <c r="D93" s="1681"/>
      <c r="E93" s="1681"/>
      <c r="F93" s="1681"/>
      <c r="G93" s="1681"/>
      <c r="H93" s="1681"/>
      <c r="I93" s="1681"/>
      <c r="J93" s="1681"/>
      <c r="K93" s="1681"/>
      <c r="L93" s="1681"/>
      <c r="M93" s="21"/>
      <c r="N93" s="21"/>
      <c r="O93"/>
    </row>
    <row r="94" spans="1:15" ht="18">
      <c r="E94" s="899"/>
      <c r="F94" s="899"/>
      <c r="G94" s="899"/>
      <c r="H94" s="899"/>
      <c r="I94" s="899"/>
      <c r="J94" s="899"/>
      <c r="K94" s="899"/>
      <c r="L94" s="82"/>
      <c r="M94" s="72"/>
      <c r="N94" s="72"/>
    </row>
  </sheetData>
  <mergeCells count="12">
    <mergeCell ref="B10:K10"/>
    <mergeCell ref="A3:L3"/>
    <mergeCell ref="A4:L4"/>
    <mergeCell ref="A5:L5"/>
    <mergeCell ref="A6:L6"/>
    <mergeCell ref="B92:L93"/>
    <mergeCell ref="B63:J63"/>
    <mergeCell ref="B24:K24"/>
    <mergeCell ref="E12:E13"/>
    <mergeCell ref="I12:I13"/>
    <mergeCell ref="B34:J34"/>
    <mergeCell ref="G12:G13"/>
  </mergeCells>
  <phoneticPr fontId="7"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8"/>
  <sheetViews>
    <sheetView view="pageBreakPreview" zoomScaleNormal="100" zoomScaleSheetLayoutView="100" workbookViewId="0">
      <selection activeCell="C14" sqref="C14"/>
    </sheetView>
  </sheetViews>
  <sheetFormatPr defaultColWidth="8.85546875" defaultRowHeight="12.75"/>
  <cols>
    <col min="1" max="1" width="9.42578125" style="424" bestFit="1" customWidth="1"/>
    <col min="2" max="2" width="65.140625" style="330" bestFit="1" customWidth="1"/>
    <col min="3" max="3" width="12.5703125" style="330" bestFit="1" customWidth="1"/>
    <col min="4" max="4" width="1.5703125" style="330" customWidth="1"/>
    <col min="5" max="5" width="15" style="330" bestFit="1" customWidth="1"/>
    <col min="6" max="16384" width="8.85546875" style="330"/>
  </cols>
  <sheetData>
    <row r="1" spans="1:15" ht="15.75">
      <c r="A1" s="898" t="s">
        <v>114</v>
      </c>
    </row>
    <row r="2" spans="1:15" ht="15.75">
      <c r="A2" s="898" t="s">
        <v>114</v>
      </c>
    </row>
    <row r="3" spans="1:15" ht="15">
      <c r="A3" s="1687" t="str">
        <f>+'WS C  - Working Capital'!A3:L3</f>
        <v>AEP East Companies</v>
      </c>
      <c r="B3" s="1687"/>
      <c r="C3" s="1687"/>
      <c r="D3" s="1687"/>
      <c r="E3" s="1687"/>
      <c r="F3" s="530"/>
      <c r="G3" s="530"/>
      <c r="H3" s="530"/>
      <c r="I3" s="530"/>
      <c r="J3" s="530"/>
      <c r="K3" s="530"/>
      <c r="L3" s="530"/>
      <c r="M3" s="530"/>
      <c r="N3" s="530"/>
      <c r="O3" s="530"/>
    </row>
    <row r="4" spans="1:15" ht="15">
      <c r="A4" s="1688" t="str">
        <f>"Cost of Service Formula Rate Using Actual/Projected FF1 Balances"</f>
        <v>Cost of Service Formula Rate Using Actual/Projected FF1 Balances</v>
      </c>
      <c r="B4" s="1688"/>
      <c r="C4" s="1688"/>
      <c r="D4" s="1688"/>
      <c r="E4" s="1688"/>
      <c r="F4" s="531"/>
      <c r="G4" s="531"/>
      <c r="H4" s="531"/>
      <c r="I4" s="531"/>
      <c r="J4" s="531"/>
      <c r="K4" s="531"/>
      <c r="L4" s="531"/>
      <c r="M4" s="532"/>
      <c r="N4" s="532"/>
      <c r="O4" s="532"/>
    </row>
    <row r="5" spans="1:15" ht="15">
      <c r="A5" s="1688" t="s">
        <v>227</v>
      </c>
      <c r="B5" s="1688"/>
      <c r="C5" s="1688"/>
      <c r="D5" s="1688"/>
      <c r="E5" s="1688"/>
      <c r="F5" s="531"/>
      <c r="G5" s="531"/>
      <c r="H5" s="531"/>
      <c r="I5" s="531"/>
      <c r="J5" s="531"/>
      <c r="K5" s="531"/>
      <c r="L5" s="531"/>
      <c r="M5" s="531"/>
      <c r="N5" s="531"/>
      <c r="O5" s="531"/>
    </row>
    <row r="6" spans="1:15" ht="15">
      <c r="A6" s="1689" t="str">
        <f>TCOS!F9</f>
        <v>Ohio Power Company</v>
      </c>
      <c r="B6" s="1689"/>
      <c r="C6" s="1689"/>
      <c r="D6" s="1689"/>
      <c r="E6" s="1689"/>
      <c r="F6" s="326"/>
      <c r="G6" s="326"/>
      <c r="H6" s="326"/>
      <c r="I6" s="326"/>
      <c r="J6" s="326"/>
      <c r="K6" s="326"/>
      <c r="L6" s="326"/>
      <c r="M6" s="326"/>
      <c r="N6" s="326"/>
      <c r="O6" s="326"/>
    </row>
    <row r="8" spans="1:15">
      <c r="A8" s="533" t="s">
        <v>169</v>
      </c>
      <c r="B8" s="534" t="s">
        <v>162</v>
      </c>
      <c r="C8" s="534" t="s">
        <v>163</v>
      </c>
    </row>
    <row r="9" spans="1:15">
      <c r="A9" s="533" t="s">
        <v>106</v>
      </c>
      <c r="B9" s="533" t="s">
        <v>167</v>
      </c>
      <c r="C9" s="533">
        <f>+TCOS!L4</f>
        <v>2021</v>
      </c>
    </row>
    <row r="10" spans="1:15">
      <c r="A10" s="535"/>
      <c r="B10" s="536"/>
      <c r="C10" s="534"/>
      <c r="F10" s="412"/>
    </row>
    <row r="11" spans="1:15">
      <c r="A11" s="424">
        <v>1</v>
      </c>
      <c r="B11" s="1123" t="str">
        <f>"Net Funds from IPP Customers 12/31/"&amp;TCOS!L4-1&amp;" ("&amp;TCOS!L4&amp;" FORM 1, P269)"</f>
        <v>Net Funds from IPP Customers 12/31/2020 (2021 FORM 1, P269)</v>
      </c>
      <c r="C11" s="845">
        <v>0</v>
      </c>
      <c r="D11" s="412"/>
      <c r="F11" s="412"/>
    </row>
    <row r="12" spans="1:15">
      <c r="B12" s="576"/>
      <c r="C12" s="851"/>
      <c r="D12" s="412"/>
      <c r="F12" s="412"/>
    </row>
    <row r="13" spans="1:15">
      <c r="A13" s="424">
        <v>2</v>
      </c>
      <c r="B13" s="1123" t="s">
        <v>71</v>
      </c>
      <c r="C13" s="845">
        <v>0</v>
      </c>
      <c r="D13" s="412"/>
      <c r="F13" s="412"/>
    </row>
    <row r="14" spans="1:15">
      <c r="B14" s="1123"/>
      <c r="C14" s="851"/>
      <c r="D14" s="412"/>
      <c r="F14" s="412"/>
    </row>
    <row r="15" spans="1:15">
      <c r="A15" s="424">
        <f>+A13+1</f>
        <v>3</v>
      </c>
      <c r="B15" s="1123" t="s">
        <v>72</v>
      </c>
      <c r="C15" s="845"/>
      <c r="D15" s="412"/>
      <c r="F15" s="412"/>
    </row>
    <row r="16" spans="1:15">
      <c r="B16" s="1123"/>
      <c r="C16" s="851"/>
      <c r="D16" s="412"/>
      <c r="F16" s="412"/>
    </row>
    <row r="17" spans="1:6">
      <c r="A17" s="424">
        <f>+A15+1</f>
        <v>4</v>
      </c>
      <c r="B17" s="1124" t="s">
        <v>228</v>
      </c>
      <c r="C17" s="851"/>
      <c r="D17" s="412"/>
      <c r="F17" s="412"/>
    </row>
    <row r="18" spans="1:6">
      <c r="A18" s="424">
        <f>+A17+1</f>
        <v>5</v>
      </c>
      <c r="B18" s="1123" t="s">
        <v>73</v>
      </c>
      <c r="C18" s="845"/>
      <c r="D18" s="412"/>
      <c r="F18" s="412"/>
    </row>
    <row r="19" spans="1:6">
      <c r="A19" s="424">
        <f>+A18+1</f>
        <v>6</v>
      </c>
      <c r="B19" s="1116" t="s">
        <v>114</v>
      </c>
      <c r="C19" s="852">
        <v>0</v>
      </c>
      <c r="D19" s="412"/>
      <c r="F19" s="412"/>
    </row>
    <row r="20" spans="1:6">
      <c r="B20" s="576"/>
      <c r="C20" s="853"/>
      <c r="D20" s="412"/>
      <c r="F20" s="412"/>
    </row>
    <row r="21" spans="1:6">
      <c r="A21" s="424">
        <f>+A19+1</f>
        <v>7</v>
      </c>
      <c r="B21" s="1123" t="str">
        <f>"Net Funds from IPP Customers 12/31/"&amp;TCOS!L4&amp;" ("&amp;TCOS!L4&amp;" FORM 1, P269)"</f>
        <v>Net Funds from IPP Customers 12/31/2021 (2021 FORM 1, P269)</v>
      </c>
      <c r="C21" s="538">
        <f>+C11+C13+C15+C18+C19</f>
        <v>0</v>
      </c>
      <c r="D21" s="539"/>
      <c r="F21" s="412"/>
    </row>
    <row r="22" spans="1:6">
      <c r="B22" s="576"/>
      <c r="C22" s="538"/>
      <c r="D22" s="412"/>
      <c r="F22" s="412"/>
    </row>
    <row r="23" spans="1:6">
      <c r="A23" s="424">
        <f>+A21+1</f>
        <v>8</v>
      </c>
      <c r="B23" s="1123" t="str">
        <f>"Average Balance for Year as Indicated in Column B ((ln "&amp;A11&amp;" + ln "&amp;A21&amp;")/2)"</f>
        <v>Average Balance for Year as Indicated in Column B ((ln 1 + ln 7)/2)</v>
      </c>
      <c r="C23" s="540">
        <f>AVERAGE(C21,C11)</f>
        <v>0</v>
      </c>
      <c r="D23" s="412"/>
      <c r="F23" s="412"/>
    </row>
    <row r="24" spans="1:6">
      <c r="B24" s="576"/>
      <c r="D24" s="412"/>
    </row>
    <row r="25" spans="1:6">
      <c r="B25" s="368"/>
      <c r="C25" s="541"/>
      <c r="D25" s="412"/>
    </row>
    <row r="26" spans="1:6" ht="15">
      <c r="A26" s="318" t="s">
        <v>499</v>
      </c>
      <c r="B26" s="1633" t="str">
        <f>"On this worksheet Company Records refers to  "&amp;A6&amp;"'s general ledger."</f>
        <v>On this worksheet Company Records refers to  Ohio Power Company's general ledger.</v>
      </c>
      <c r="D26" s="412"/>
    </row>
    <row r="27" spans="1:6">
      <c r="B27" s="1626"/>
      <c r="D27" s="412"/>
    </row>
    <row r="28" spans="1:6">
      <c r="B28" s="542"/>
      <c r="D28" s="41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E6NTY6MTQ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4F4638B-8786-4FEB-994B-B0AE77BE96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29DBC15-2FD1-4697-90D5-1F166FAF5F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11</vt:i4>
      </vt:variant>
    </vt:vector>
  </HeadingPairs>
  <TitlesOfParts>
    <vt:vector size="41"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H Other Taxes'!Print_Area</vt:lpstr>
      <vt:lpstr>'WS I Reserved'!Print_Area</vt:lpstr>
      <vt:lpstr>'WS J PROJECTED RTEP RR'!Print_Area</vt:lpstr>
      <vt:lpstr>'WS K TRUE-UP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fa23c570-8923-4e1c-b91e-96a7ba8685ba</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{84F4638B-8786-4FEB-994B-B0AE77BE9687}</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